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Y:\HoJFU\Working\Commissioner for Economic Planning &amp; Future Prosperity\LEP\LEP Funding Group\2021-22 Core Fund Grant\"/>
    </mc:Choice>
  </mc:AlternateContent>
  <xr:revisionPtr revIDLastSave="0" documentId="8_{3026A65C-E81F-43B4-A816-DFECA77C5E65}" xr6:coauthVersionLast="45" xr6:coauthVersionMax="45" xr10:uidLastSave="{00000000-0000-0000-0000-000000000000}"/>
  <bookViews>
    <workbookView xWindow="-19320" yWindow="-1230" windowWidth="19440" windowHeight="15000" firstSheet="1" activeTab="1" xr2:uid="{00000000-000D-0000-FFFF-FFFF00000000}"/>
  </bookViews>
  <sheets>
    <sheet name="Est LEP Reserve Balances 21-22" sheetId="13" state="hidden" r:id="rId1"/>
    <sheet name="SSLEP Budget 21-22 " sheetId="8" r:id="rId2"/>
    <sheet name="Core Fund Grant Form 21-22" sheetId="12" state="hidden" r:id="rId3"/>
    <sheet name="SSLEP Budget 20-21 DRAFT v2" sheetId="10" state="hidden" r:id="rId4"/>
    <sheet name="2021-22 Core Fund Grant Applicn" sheetId="1" state="hidden" r:id="rId5"/>
    <sheet name="Core Fund Grant WP" sheetId="7" state="hidden" r:id="rId6"/>
    <sheet name="SCC Match Funding" sheetId="4" state="hidden" r:id="rId7"/>
    <sheet name="SoTCC Match Funding (TBC)" sheetId="6" state="hidden" r:id="rId8"/>
    <sheet name="Chamber of Commerce Match Fund" sheetId="11" state="hidden" r:id="rId9"/>
    <sheet name="Secretariat Proposed Structure" sheetId="9" state="hidden" r:id="rId10"/>
  </sheets>
  <externalReferences>
    <externalReference r:id="rId11"/>
  </externalReferences>
  <definedNames>
    <definedName name="Descriptionofcost" localSheetId="2">[1]Sheet2!$A$2:$A$8</definedName>
    <definedName name="Descriptionofcost" localSheetId="5">#REF!</definedName>
    <definedName name="Descriptionofcost">#REF!</definedName>
    <definedName name="OrganisationType" localSheetId="2">[1]Sheet2!$A$12:$A$16</definedName>
    <definedName name="OrganisationType" localSheetId="5">#REF!</definedName>
    <definedName name="OrganisationType">#REF!</definedName>
    <definedName name="_xlnm.Print_Area" localSheetId="4">'2021-22 Core Fund Grant Applicn'!$A$1:$G$84</definedName>
    <definedName name="_xlnm.Print_Area" localSheetId="2">'Core Fund Grant Form 21-22'!$A$1:$G$54</definedName>
    <definedName name="_xlnm.Print_Area" localSheetId="1">'SSLEP Budget 21-22 '!$A$1:$G$70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8" i="8" l="1"/>
  <c r="I59" i="8"/>
  <c r="F76" i="8"/>
  <c r="D24" i="12"/>
  <c r="D25" i="12"/>
  <c r="D34" i="1"/>
  <c r="D33" i="1"/>
  <c r="E45" i="8" l="1"/>
  <c r="E43" i="1"/>
  <c r="E31" i="12" s="1"/>
  <c r="E44" i="8" l="1"/>
  <c r="M15" i="7" l="1"/>
  <c r="I4" i="6"/>
  <c r="K4" i="6" s="1"/>
  <c r="E4" i="6" s="1"/>
  <c r="J4" i="6"/>
  <c r="E14" i="13" l="1"/>
  <c r="M7" i="7"/>
  <c r="D32" i="1" l="1"/>
  <c r="D23" i="12" s="1"/>
  <c r="D31" i="1"/>
  <c r="D22" i="12" s="1"/>
  <c r="D30" i="1"/>
  <c r="D21" i="12" s="1"/>
  <c r="D29" i="1"/>
  <c r="D20" i="12" s="1"/>
  <c r="D28" i="1"/>
  <c r="D19" i="12" s="1"/>
  <c r="D26" i="1"/>
  <c r="D17" i="12" s="1"/>
  <c r="D25" i="1"/>
  <c r="D16" i="12" s="1"/>
  <c r="D24" i="1"/>
  <c r="D15" i="12" s="1"/>
  <c r="D23" i="1"/>
  <c r="D9" i="12" s="1"/>
  <c r="D22" i="1"/>
  <c r="D8" i="12" s="1"/>
  <c r="D21" i="1"/>
  <c r="D20" i="1"/>
  <c r="D14" i="12" s="1"/>
  <c r="D19" i="1"/>
  <c r="D13" i="12" s="1"/>
  <c r="D18" i="1"/>
  <c r="D12" i="12" s="1"/>
  <c r="D17" i="1"/>
  <c r="E14" i="8"/>
  <c r="E20" i="8"/>
  <c r="E15" i="8"/>
  <c r="E16" i="8"/>
  <c r="E18" i="8"/>
  <c r="E19" i="8"/>
  <c r="E21" i="8"/>
  <c r="E22" i="8"/>
  <c r="E23" i="8"/>
  <c r="F10" i="8"/>
  <c r="E26" i="8"/>
  <c r="E27" i="8"/>
  <c r="E30" i="8"/>
  <c r="E36" i="8"/>
  <c r="E35" i="8"/>
  <c r="E34" i="8"/>
  <c r="E37" i="8"/>
  <c r="E48" i="8"/>
  <c r="M8" i="7"/>
  <c r="M14" i="7"/>
  <c r="M10" i="7"/>
  <c r="M11" i="7"/>
  <c r="M12" i="7"/>
  <c r="M40" i="7"/>
  <c r="M39" i="7"/>
  <c r="N39" i="7" s="1"/>
  <c r="M38" i="7"/>
  <c r="M37" i="7"/>
  <c r="M41" i="7" s="1"/>
  <c r="M36" i="7"/>
  <c r="M33" i="7"/>
  <c r="M32" i="7"/>
  <c r="M31" i="7"/>
  <c r="N31" i="7" s="1"/>
  <c r="M30" i="7"/>
  <c r="N30" i="7" s="1"/>
  <c r="M29" i="7"/>
  <c r="M28" i="7"/>
  <c r="N27" i="7"/>
  <c r="M26" i="7"/>
  <c r="N26" i="7" s="1"/>
  <c r="M25" i="7"/>
  <c r="N24" i="7"/>
  <c r="M23" i="7"/>
  <c r="N23" i="7" s="1"/>
  <c r="M22" i="7"/>
  <c r="N22" i="7" s="1"/>
  <c r="M21" i="7"/>
  <c r="M20" i="7"/>
  <c r="M19" i="7"/>
  <c r="N19" i="7" s="1"/>
  <c r="M13" i="7"/>
  <c r="N40" i="7"/>
  <c r="N38" i="7"/>
  <c r="N36" i="7"/>
  <c r="N20" i="7"/>
  <c r="N25" i="7"/>
  <c r="N28" i="7"/>
  <c r="N29" i="7"/>
  <c r="N32" i="7"/>
  <c r="N33" i="7"/>
  <c r="D10" i="12" l="1"/>
  <c r="E47" i="8"/>
  <c r="E44" i="1" s="1"/>
  <c r="E32" i="12" s="1"/>
  <c r="E49" i="8"/>
  <c r="E17" i="8"/>
  <c r="D27" i="1"/>
  <c r="D18" i="12" s="1"/>
  <c r="N37" i="7"/>
  <c r="M34" i="7"/>
  <c r="N41" i="7"/>
  <c r="H7" i="7"/>
  <c r="H8" i="7"/>
  <c r="H9" i="7"/>
  <c r="L15" i="7" l="1"/>
  <c r="N15" i="7" s="1"/>
  <c r="J7" i="4" l="1"/>
  <c r="I7" i="4"/>
  <c r="J8" i="4"/>
  <c r="I8" i="4"/>
  <c r="J6" i="4"/>
  <c r="I6" i="4"/>
  <c r="L8" i="7" l="1"/>
  <c r="N8" i="7" s="1"/>
  <c r="L7" i="7"/>
  <c r="N7" i="7" s="1"/>
  <c r="I8" i="9" l="1"/>
  <c r="I7" i="9"/>
  <c r="I9" i="9"/>
  <c r="D32" i="9"/>
  <c r="D38" i="9" s="1"/>
  <c r="D35" i="9"/>
  <c r="D30" i="9"/>
  <c r="L13" i="7" l="1"/>
  <c r="N13" i="7" s="1"/>
  <c r="C87" i="8" l="1"/>
  <c r="B87" i="8"/>
  <c r="D87" i="8" l="1"/>
  <c r="D14" i="1" s="1"/>
  <c r="D11" i="12" l="1"/>
  <c r="D4" i="11"/>
  <c r="H6" i="11"/>
  <c r="J4" i="11"/>
  <c r="J6" i="11" s="1"/>
  <c r="K4" i="11" l="1"/>
  <c r="K6" i="11"/>
  <c r="E6" i="11"/>
  <c r="I6" i="11"/>
  <c r="E22" i="10" l="1"/>
  <c r="E21" i="10"/>
  <c r="E53" i="10"/>
  <c r="F67" i="10" s="1"/>
  <c r="E52" i="10"/>
  <c r="E50" i="10"/>
  <c r="E54" i="10"/>
  <c r="E8" i="10" l="1"/>
  <c r="E60" i="10"/>
  <c r="E42" i="10"/>
  <c r="E40" i="10"/>
  <c r="E39" i="10"/>
  <c r="E41" i="10" l="1"/>
  <c r="F43" i="10" s="1"/>
  <c r="F38" i="8"/>
  <c r="E26" i="10"/>
  <c r="E20" i="10"/>
  <c r="E24" i="10"/>
  <c r="E27" i="10"/>
  <c r="F36" i="10"/>
  <c r="E23" i="10"/>
  <c r="E25" i="10"/>
  <c r="E19" i="10"/>
  <c r="F31" i="8" l="1"/>
  <c r="L9" i="7"/>
  <c r="L14" i="7"/>
  <c r="N14" i="7" s="1"/>
  <c r="L12" i="7"/>
  <c r="N12" i="7" s="1"/>
  <c r="L11" i="7"/>
  <c r="N11" i="7" s="1"/>
  <c r="M9" i="7" l="1"/>
  <c r="M16" i="7" s="1"/>
  <c r="M43" i="7" s="1"/>
  <c r="N9" i="7" l="1"/>
  <c r="N47" i="7" s="1"/>
  <c r="N51" i="7" s="1"/>
  <c r="E51" i="10"/>
  <c r="F55" i="10" s="1"/>
  <c r="L21" i="7"/>
  <c r="N21" i="7" s="1"/>
  <c r="N34" i="7" s="1"/>
  <c r="D7" i="12" l="1"/>
  <c r="L34" i="7"/>
  <c r="F14" i="10"/>
  <c r="E32" i="10"/>
  <c r="J7" i="6"/>
  <c r="J6" i="6"/>
  <c r="J5" i="6"/>
  <c r="H5" i="4"/>
  <c r="J5" i="4" l="1"/>
  <c r="J10" i="4" s="1"/>
  <c r="I5" i="4"/>
  <c r="H10" i="4"/>
  <c r="E29" i="10" l="1"/>
  <c r="I6" i="6"/>
  <c r="K6" i="6" s="1"/>
  <c r="E6" i="6" s="1"/>
  <c r="I7" i="6" l="1"/>
  <c r="I5" i="6"/>
  <c r="K5" i="6" s="1"/>
  <c r="E5" i="6" s="1"/>
  <c r="K7" i="6" l="1"/>
  <c r="E7" i="6" s="1"/>
  <c r="L41" i="7" l="1"/>
  <c r="E28" i="10" l="1"/>
  <c r="F30" i="10" s="1"/>
  <c r="E33" i="10"/>
  <c r="F34" i="10" s="1"/>
  <c r="F24" i="8" l="1"/>
  <c r="F28" i="8"/>
  <c r="L10" i="7"/>
  <c r="L16" i="7" l="1"/>
  <c r="N10" i="7"/>
  <c r="N16" i="7" s="1"/>
  <c r="N43" i="7" s="1"/>
  <c r="H50" i="8" l="1"/>
  <c r="F5" i="8"/>
  <c r="E6" i="10"/>
  <c r="K5" i="4" l="1"/>
  <c r="E5" i="4" s="1"/>
  <c r="I10" i="4"/>
  <c r="J8" i="6"/>
  <c r="I8" i="6"/>
  <c r="H8" i="6"/>
  <c r="K8" i="6"/>
  <c r="K8" i="4"/>
  <c r="E8" i="4" s="1"/>
  <c r="K7" i="4"/>
  <c r="E7" i="4" s="1"/>
  <c r="K6" i="4"/>
  <c r="K4" i="4"/>
  <c r="K10" i="4" l="1"/>
  <c r="E8" i="6"/>
  <c r="E6" i="4"/>
  <c r="E56" i="8" l="1"/>
  <c r="F63" i="8" s="1"/>
  <c r="E10" i="4"/>
  <c r="E42" i="1"/>
  <c r="E9" i="6"/>
  <c r="E10" i="6" s="1"/>
  <c r="E59" i="10" l="1"/>
  <c r="E30" i="12"/>
  <c r="E55" i="8"/>
  <c r="F64" i="8" s="1"/>
  <c r="F67" i="8" s="1"/>
  <c r="F79" i="8" s="1"/>
  <c r="E41" i="1"/>
  <c r="E29" i="12" s="1"/>
  <c r="E11" i="4"/>
  <c r="E12" i="4" s="1"/>
  <c r="L43" i="7"/>
  <c r="E35" i="12" l="1"/>
  <c r="E58" i="10"/>
  <c r="F61" i="10" s="1"/>
  <c r="F63" i="10" s="1"/>
  <c r="H57" i="8"/>
  <c r="F57" i="8"/>
  <c r="E7" i="10"/>
  <c r="F10" i="10" s="1"/>
  <c r="F45" i="10" s="1"/>
  <c r="E53" i="1"/>
  <c r="F7" i="8" l="1"/>
  <c r="D12" i="1" s="1"/>
  <c r="I35" i="1"/>
  <c r="J53" i="1"/>
  <c r="F40" i="8" l="1"/>
  <c r="F75" i="8" s="1"/>
  <c r="F77" i="8" s="1"/>
  <c r="D35" i="1"/>
  <c r="D6" i="12"/>
  <c r="D26" i="12" s="1"/>
  <c r="G14" i="13"/>
  <c r="E46" i="8"/>
  <c r="F50" i="8" s="1"/>
  <c r="N53" i="7"/>
  <c r="F59" i="8" l="1"/>
  <c r="F80" i="8"/>
  <c r="I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Broad, John (Corporate)</author>
  </authors>
  <commentList>
    <comment ref="E10" authorId="0" shapeId="0" xr:uid="{23853E7A-44E1-4CDC-8A1B-4298CD16CD79}">
      <text>
        <r>
          <rPr>
            <b/>
            <sz val="9"/>
            <color indexed="81"/>
            <rFont val="Tahoma"/>
            <family val="2"/>
          </rPr>
          <t>Broad, John (Corporate):</t>
        </r>
        <r>
          <rPr>
            <sz val="9"/>
            <color indexed="81"/>
            <rFont val="Tahoma"/>
            <family val="2"/>
          </rPr>
          <t xml:space="preserve">
As per 19-20 LEP Balances.</t>
        </r>
      </text>
    </comment>
    <comment ref="E12" authorId="0" shapeId="0" xr:uid="{C9739860-B5DB-4A1B-8752-6EFF8327F031}">
      <text>
        <r>
          <rPr>
            <b/>
            <sz val="9"/>
            <color indexed="81"/>
            <rFont val="Tahoma"/>
            <family val="2"/>
          </rPr>
          <t>Broad, John (Corporate):</t>
        </r>
        <r>
          <rPr>
            <sz val="9"/>
            <color indexed="81"/>
            <rFont val="Tahoma"/>
            <family val="2"/>
          </rPr>
          <t xml:space="preserve">
As per 19-20 LEP Balances.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Broad, John (F&amp;R)</author>
  </authors>
  <commentList>
    <comment ref="E55" authorId="0" shapeId="0" xr:uid="{73D5BEE2-063E-4BA3-95BB-D8F25633D5E2}">
      <text>
        <r>
          <rPr>
            <b/>
            <sz val="9"/>
            <color indexed="81"/>
            <rFont val="Tahoma"/>
            <family val="2"/>
          </rPr>
          <t>Broad, John (F&amp;R):</t>
        </r>
        <r>
          <rPr>
            <sz val="9"/>
            <color indexed="81"/>
            <rFont val="Tahoma"/>
            <family val="2"/>
          </rPr>
          <t xml:space="preserve">
RM - £50k Make IT Team is split by % of funding from SoTCC and SCC. See notes below... </t>
        </r>
      </text>
    </comment>
    <comment ref="E56" authorId="0" shapeId="0" xr:uid="{7B926581-4A66-47E3-9E38-1EAD8F4A6E39}">
      <text>
        <r>
          <rPr>
            <b/>
            <sz val="9"/>
            <color indexed="81"/>
            <rFont val="Tahoma"/>
            <family val="2"/>
          </rPr>
          <t>Broad, John (F&amp;R):</t>
        </r>
        <r>
          <rPr>
            <sz val="9"/>
            <color indexed="81"/>
            <rFont val="Tahoma"/>
            <family val="2"/>
          </rPr>
          <t xml:space="preserve">
RM - £50k Make IT Team is split by % of funding from SoTCC and SCC. See notes below...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Broad, John (F&amp;R)</author>
  </authors>
  <commentList>
    <comment ref="E42" authorId="0" shapeId="0" xr:uid="{00606A7F-41CF-4422-9226-451F8A650E4B}">
      <text>
        <r>
          <rPr>
            <b/>
            <sz val="9"/>
            <color indexed="81"/>
            <rFont val="Tahoma"/>
            <family val="2"/>
          </rPr>
          <t>Broad, John (F&amp;R):</t>
        </r>
        <r>
          <rPr>
            <sz val="9"/>
            <color indexed="81"/>
            <rFont val="Tahoma"/>
            <family val="2"/>
          </rPr>
          <t xml:space="preserve">
SoTCC Match contribution TBC  (Mark Connell)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Whittaker, Carl (F&amp;R)</author>
    <author>Broad, John (Corporate)</author>
    <author>Broad, John (F&amp;R)</author>
    <author>McCann, Chris (E,I&amp;S)</author>
  </authors>
  <commentList>
    <comment ref="D4" authorId="0" shapeId="0" xr:uid="{20544C6C-E885-4E6C-95B0-7B4000FE5F2C}">
      <text>
        <r>
          <rPr>
            <b/>
            <sz val="9"/>
            <color indexed="81"/>
            <rFont val="Tahoma"/>
            <family val="2"/>
          </rPr>
          <t>Whittaker, Carl (F&amp;R):</t>
        </r>
        <r>
          <rPr>
            <sz val="9"/>
            <color indexed="81"/>
            <rFont val="Tahoma"/>
            <family val="2"/>
          </rPr>
          <t xml:space="preserve">
New Structure from 01/04/2019
</t>
        </r>
      </text>
    </comment>
    <comment ref="F5" authorId="0" shapeId="0" xr:uid="{D9285FC7-20CF-4116-BD2E-65F58B3EBDA1}">
      <text>
        <r>
          <rPr>
            <b/>
            <sz val="9"/>
            <color indexed="81"/>
            <rFont val="Tahoma"/>
            <family val="2"/>
          </rPr>
          <t>Whittaker, Carl (F&amp;R):</t>
        </r>
        <r>
          <rPr>
            <sz val="9"/>
            <color indexed="81"/>
            <rFont val="Tahoma"/>
            <family val="2"/>
          </rPr>
          <t xml:space="preserve">
13.8% after earnings allowance</t>
        </r>
      </text>
    </comment>
    <comment ref="G5" authorId="0" shapeId="0" xr:uid="{29A52D89-B202-43FB-8561-7C5866872294}">
      <text>
        <r>
          <rPr>
            <b/>
            <sz val="9"/>
            <color indexed="81"/>
            <rFont val="Tahoma"/>
            <family val="2"/>
          </rPr>
          <t>Whittaker, Carl (F&amp;R):</t>
        </r>
        <r>
          <rPr>
            <sz val="9"/>
            <color indexed="81"/>
            <rFont val="Tahoma"/>
            <family val="2"/>
          </rPr>
          <t xml:space="preserve">
24.6%
</t>
        </r>
      </text>
    </comment>
    <comment ref="B9" authorId="1" shapeId="0" xr:uid="{AD57DC91-6370-499A-86E0-C1C837CF0279}">
      <text>
        <r>
          <rPr>
            <b/>
            <sz val="9"/>
            <color indexed="81"/>
            <rFont val="Tahoma"/>
            <family val="2"/>
          </rPr>
          <t>Broad, John (Corporate):</t>
        </r>
        <r>
          <rPr>
            <sz val="9"/>
            <color indexed="81"/>
            <rFont val="Tahoma"/>
            <family val="2"/>
          </rPr>
          <t xml:space="preserve">
Days worked supporting the LEP is currently under review.</t>
        </r>
      </text>
    </comment>
    <comment ref="H10" authorId="2" shapeId="0" xr:uid="{FB798D20-CA1F-4527-ABAC-52B5ACE2A400}">
      <text>
        <r>
          <rPr>
            <b/>
            <sz val="9"/>
            <color indexed="81"/>
            <rFont val="Tahoma"/>
            <family val="2"/>
          </rPr>
          <t>Broad, John (F&amp;R):</t>
        </r>
        <r>
          <rPr>
            <sz val="9"/>
            <color indexed="81"/>
            <rFont val="Tahoma"/>
            <family val="2"/>
          </rPr>
          <t xml:space="preserve">
Total Salary + 2% Inflation</t>
        </r>
      </text>
    </comment>
    <comment ref="B11" authorId="3" shapeId="0" xr:uid="{75432576-FFA4-4083-9362-9A7415D0AC55}">
      <text>
        <r>
          <rPr>
            <b/>
            <sz val="9"/>
            <color indexed="81"/>
            <rFont val="Tahoma"/>
            <family val="2"/>
          </rPr>
          <t>McCann, Chris (E,I&amp;S):</t>
        </r>
        <r>
          <rPr>
            <sz val="9"/>
            <color indexed="81"/>
            <rFont val="Tahoma"/>
            <family val="2"/>
          </rPr>
          <t xml:space="preserve">
current salary equ to G7 move to G10 equvalent of S Hicks rate then based on 3 days</t>
        </r>
      </text>
    </comment>
    <comment ref="H11" authorId="2" shapeId="0" xr:uid="{42B3A74A-82BA-41DC-904E-ECD03DD89BA6}">
      <text>
        <r>
          <rPr>
            <b/>
            <sz val="9"/>
            <color indexed="81"/>
            <rFont val="Tahoma"/>
            <family val="2"/>
          </rPr>
          <t>Broad, John (F&amp;R):</t>
        </r>
        <r>
          <rPr>
            <sz val="9"/>
            <color indexed="81"/>
            <rFont val="Tahoma"/>
            <family val="2"/>
          </rPr>
          <t xml:space="preserve">
Total Salary + 2% Inflation
(Based on equivalent to SH post G10)</t>
        </r>
      </text>
    </comment>
    <comment ref="H12" authorId="2" shapeId="0" xr:uid="{B8977FB5-E3B2-4D85-9023-1B9031FEC395}">
      <text>
        <r>
          <rPr>
            <b/>
            <sz val="9"/>
            <color indexed="81"/>
            <rFont val="Tahoma"/>
            <family val="2"/>
          </rPr>
          <t>Broad, John (F&amp;R):</t>
        </r>
        <r>
          <rPr>
            <sz val="9"/>
            <color indexed="81"/>
            <rFont val="Tahoma"/>
            <family val="2"/>
          </rPr>
          <t xml:space="preserve">
Total Salary + 2% Inflation</t>
        </r>
      </text>
    </comment>
    <comment ref="L27" authorId="1" shapeId="0" xr:uid="{ED095C6C-ED17-41C0-B428-A3F0F0EDF19B}">
      <text>
        <r>
          <rPr>
            <b/>
            <sz val="9"/>
            <color indexed="81"/>
            <rFont val="Tahoma"/>
            <family val="2"/>
          </rPr>
          <t>Broad, John (Corporate):</t>
        </r>
        <r>
          <rPr>
            <sz val="9"/>
            <color indexed="81"/>
            <rFont val="Tahoma"/>
            <family val="2"/>
          </rPr>
          <t xml:space="preserve">
Insurance premiums are to increase to £10,640 in 21-22 up from £7k in 20-21.</t>
        </r>
      </text>
    </comment>
  </commentList>
</comments>
</file>

<file path=xl/sharedStrings.xml><?xml version="1.0" encoding="utf-8"?>
<sst xmlns="http://schemas.openxmlformats.org/spreadsheetml/2006/main" count="657" uniqueCount="425">
  <si>
    <t xml:space="preserve">Organisation Name </t>
  </si>
  <si>
    <r>
      <t xml:space="preserve">Organisation type 
</t>
    </r>
    <r>
      <rPr>
        <b/>
        <sz val="10"/>
        <color theme="1"/>
        <rFont val="Arial"/>
        <family val="2"/>
      </rPr>
      <t>(Use dropdown)</t>
    </r>
  </si>
  <si>
    <t>If other organisation type please state</t>
  </si>
  <si>
    <t>Amount contributed £</t>
  </si>
  <si>
    <t>Comments</t>
  </si>
  <si>
    <t>1. Name of Local Enterprise Partnership</t>
  </si>
  <si>
    <t>3.  Name and address of accountable local authority</t>
  </si>
  <si>
    <t>If you selected 'other' please describe the cost</t>
  </si>
  <si>
    <t>Amount £</t>
  </si>
  <si>
    <t>…………………………………………………………………..</t>
  </si>
  <si>
    <t xml:space="preserve">Date </t>
  </si>
  <si>
    <t>Public Sector</t>
  </si>
  <si>
    <t>Private Sector</t>
  </si>
  <si>
    <t>Other</t>
  </si>
  <si>
    <t>Buildings / Room Hire</t>
  </si>
  <si>
    <t xml:space="preserve">10.  Signature of Local Enterprise Partnership Chair </t>
  </si>
  <si>
    <t>11.  Signature from section 31 accountable local authority</t>
  </si>
  <si>
    <r>
      <t>8. Provide confirmation that the Local Enterprise Partnership has a clear plan of activity to implement and communicate its strategic priorities to the local community, including the on-going outputs and outcomes of its Growth Deal as set out in the Growth Deal funding agreement.</t>
    </r>
    <r>
      <rPr>
        <i/>
        <sz val="12"/>
        <color rgb="FFFF0000"/>
        <rFont val="Arial"/>
        <family val="2"/>
      </rPr>
      <t xml:space="preserve">  </t>
    </r>
  </si>
  <si>
    <t>LOCAL ENTERPRISE PARTNERSHIP</t>
  </si>
  <si>
    <t>Description of cost 
(Use dropdown)</t>
  </si>
  <si>
    <t>2. Key contact at Local Enterprise Partnership
    (name, email, and telephone number)</t>
  </si>
  <si>
    <t>9.  Local Authority full bank account details 
     (Name of bank, account number, sort code etc.)</t>
  </si>
  <si>
    <t>Stoke-on-Trent and Staffordshire</t>
  </si>
  <si>
    <t>Management and Admin, broken down as:</t>
  </si>
  <si>
    <t>Operational Expenditure broken down as:</t>
  </si>
  <si>
    <t>LEP Board Activities</t>
  </si>
  <si>
    <t>Communication Costs</t>
  </si>
  <si>
    <t xml:space="preserve">Surveys and other materials to support comms activities </t>
  </si>
  <si>
    <t>Office Rental</t>
  </si>
  <si>
    <t>Staffordshire County Council</t>
  </si>
  <si>
    <t>Stoke-on-Trent City Council</t>
  </si>
  <si>
    <t>Staffordshire Chambers of Commerce, Stafordshire University, Keele University and other key partners also undertake a package of events and activities, which, as members within the LEP, contribute towards the delivery of the LEP Strategic Economic Plan.</t>
  </si>
  <si>
    <t>We are pleased to continue to enjoy the ambassadorial input of a number of business leaders who are acting in support of the Board and its activities.</t>
  </si>
  <si>
    <t>In addition, LEP Board members also input their own time in progressing the LEP's vision outside of board meetings and formal events.</t>
  </si>
  <si>
    <t>It is confirmed that these resources are additional to the core activities of the partners listed above and are at the disposal an direction of the LEP Board.</t>
  </si>
  <si>
    <t>Skills</t>
  </si>
  <si>
    <t>Private sector sponsorship towards investment promotion and events.</t>
  </si>
  <si>
    <t>A proportion of the Inward Investment team's LEP work relating to LEP priorities</t>
  </si>
  <si>
    <t>Post</t>
  </si>
  <si>
    <t>Postholder</t>
  </si>
  <si>
    <t>Organisation</t>
  </si>
  <si>
    <t>LEP Contribution TBC</t>
  </si>
  <si>
    <t>Grade</t>
  </si>
  <si>
    <t>Basic Salary</t>
  </si>
  <si>
    <t>Total Employee Costs</t>
  </si>
  <si>
    <t>Total</t>
  </si>
  <si>
    <t>STAFFS CC Match funded Staff</t>
  </si>
  <si>
    <t>Staffs CC</t>
  </si>
  <si>
    <t>G14</t>
  </si>
  <si>
    <t>Simon Ablewhite</t>
  </si>
  <si>
    <t>John Broad</t>
  </si>
  <si>
    <t>G13</t>
  </si>
  <si>
    <t>Chris McCann</t>
  </si>
  <si>
    <t>Midlands Engine</t>
  </si>
  <si>
    <t>LEP Delivery Team, Partnership and Project Management</t>
  </si>
  <si>
    <t>Internal Audit</t>
  </si>
  <si>
    <t>Inward Investment Team</t>
  </si>
  <si>
    <t>Notes:</t>
  </si>
  <si>
    <t>G10</t>
  </si>
  <si>
    <t>SoTCC</t>
  </si>
  <si>
    <t>SoTCC Match funded Staff</t>
  </si>
  <si>
    <t>Julie O Bada</t>
  </si>
  <si>
    <t>SCP (new from 1/4/19)</t>
  </si>
  <si>
    <t>NI (13.8% after allowance)</t>
  </si>
  <si>
    <t>Business Engagement &amp; Activities</t>
  </si>
  <si>
    <t>Operations Director</t>
  </si>
  <si>
    <t>EXCEEDED BY</t>
  </si>
  <si>
    <t>£250k Match Funding target</t>
  </si>
  <si>
    <t>LEP Core Fund Grant</t>
  </si>
  <si>
    <t>Role</t>
  </si>
  <si>
    <t>Post Holder</t>
  </si>
  <si>
    <t>SCC Grade</t>
  </si>
  <si>
    <t>SCP</t>
  </si>
  <si>
    <t>FTE of post</t>
  </si>
  <si>
    <t>(mid-point of grade)</t>
  </si>
  <si>
    <t>NI</t>
  </si>
  <si>
    <t>Supn</t>
  </si>
  <si>
    <t>Notes</t>
  </si>
  <si>
    <t>New Post</t>
  </si>
  <si>
    <t>G16</t>
  </si>
  <si>
    <t>Funded from current Core Fund Grant</t>
  </si>
  <si>
    <t>SSLEP Establishment Sub-total</t>
  </si>
  <si>
    <t xml:space="preserve">SSLEP Office Operating Costs </t>
  </si>
  <si>
    <t>Business Engagement</t>
  </si>
  <si>
    <t>Current Agreed Annual Contributions</t>
  </si>
  <si>
    <t>LEP Network</t>
  </si>
  <si>
    <t>Constellation Partnership</t>
  </si>
  <si>
    <t>MIPIM</t>
  </si>
  <si>
    <t>Total Expenditure</t>
  </si>
  <si>
    <t>Funded by:</t>
  </si>
  <si>
    <t>Total Income (Funding)</t>
  </si>
  <si>
    <t>Note:</t>
  </si>
  <si>
    <t>Staffing Establishment</t>
  </si>
  <si>
    <t>Investment Promotion</t>
  </si>
  <si>
    <t>Participation in promotional investment activity (MIPIM)</t>
  </si>
  <si>
    <t>includes Constellation Partnership; Midlands Engine &amp; LEP Network</t>
  </si>
  <si>
    <t>LEP Office and Reception Rental</t>
  </si>
  <si>
    <t>Salaries</t>
  </si>
  <si>
    <t>Collaborative LEP Work</t>
  </si>
  <si>
    <t>COC Grade</t>
  </si>
  <si>
    <t>Sarah Hollinshead</t>
  </si>
  <si>
    <t>G11</t>
  </si>
  <si>
    <t>LEP Delivery Team Expenses</t>
  </si>
  <si>
    <t>Sarah Hollinshead post funding has replaced Scott Grindley's post from 2019-20 onwards. Scott has since left Stoke on Trent City Council.</t>
  </si>
  <si>
    <t>SM4</t>
  </si>
  <si>
    <t>Alison Moore</t>
  </si>
  <si>
    <t>L13</t>
  </si>
  <si>
    <t>The Stoke-on-Trent and Staffordshire LEP Board agreed a range of activities that directly relate to the delivery of the LEP Review and Strategic Economic Plan and to the development of the LEP's Local Industrial Strategy.</t>
  </si>
  <si>
    <t>LEP Contribution</t>
  </si>
  <si>
    <t>2020-21</t>
  </si>
  <si>
    <t>Supn 25.6%</t>
  </si>
  <si>
    <t>Apprenticeship Graduation</t>
  </si>
  <si>
    <t>Annual Core Fund Grant Funding</t>
  </si>
  <si>
    <t xml:space="preserve">Legal </t>
  </si>
  <si>
    <t>Branding &amp; Communications</t>
  </si>
  <si>
    <t xml:space="preserve">Staff Training </t>
  </si>
  <si>
    <t>Audit Fees</t>
  </si>
  <si>
    <t>Redundancy Provision</t>
  </si>
  <si>
    <t>Printed: Simon Ablewhite</t>
  </si>
  <si>
    <t>Printed: Alan Rodgers</t>
  </si>
  <si>
    <t>Staffordshire CC Internal Audit will undertake the following annual audits of funding streams - GPF Grant; Local Growth Fund Grant; Growth Hub Grant; Core Fund Grant and ESIF (ERDF/ESF).</t>
  </si>
  <si>
    <t>LEP Office Expenses</t>
  </si>
  <si>
    <t>LEP Chair's Honorarium</t>
  </si>
  <si>
    <t>LEP Chair &amp; Board Activities/Expenses</t>
  </si>
  <si>
    <t>CEO/Operations Director</t>
  </si>
  <si>
    <t>Business Engagement Officer</t>
  </si>
  <si>
    <t>Project Manager - Delivery</t>
  </si>
  <si>
    <t>Funded from LEP Admin Reserve</t>
  </si>
  <si>
    <t>Sharon Palphreyman</t>
  </si>
  <si>
    <t>Strategy Research Officer</t>
  </si>
  <si>
    <t>Joanne Kemp</t>
  </si>
  <si>
    <t>Sam Hicks</t>
  </si>
  <si>
    <t>****DRAFT****</t>
  </si>
  <si>
    <t>Legal Fees</t>
  </si>
  <si>
    <t>Funding from Reserves</t>
  </si>
  <si>
    <t>Apprentice Graduation Event</t>
  </si>
  <si>
    <t>Funding contribution to LEP Redundancy Reserve</t>
  </si>
  <si>
    <t>LEP Secretariat Staff Training</t>
  </si>
  <si>
    <t>LEP Secretariat Staff Training budget</t>
  </si>
  <si>
    <t>Insurance Costs</t>
  </si>
  <si>
    <t xml:space="preserve">Insurance - Professional Indeminity &amp; Public Liability </t>
  </si>
  <si>
    <t>LEP Secretariat Office Expenses</t>
  </si>
  <si>
    <t>VAT liability Provision</t>
  </si>
  <si>
    <t>LIS Development Fund</t>
  </si>
  <si>
    <t xml:space="preserve">LIS Projects Development Fund </t>
  </si>
  <si>
    <t>Office Operational Expenses</t>
  </si>
  <si>
    <t>£.</t>
  </si>
  <si>
    <t>Area of Work/Name of Post</t>
  </si>
  <si>
    <t>How Funded</t>
  </si>
  <si>
    <t>£ incl. On Costs</t>
  </si>
  <si>
    <t>In Place?</t>
  </si>
  <si>
    <t>Strategy &amp; Governance</t>
  </si>
  <si>
    <t>Chief Executive Officer</t>
  </si>
  <si>
    <t>LEP Core Funds</t>
  </si>
  <si>
    <t>No/Interim</t>
  </si>
  <si>
    <t>Strategy &amp; Governance Manager</t>
  </si>
  <si>
    <t>SCC Financed / Secondment</t>
  </si>
  <si>
    <t>PR/Comms</t>
  </si>
  <si>
    <t>Business Engagement, Strategy, Policy &amp; Research</t>
  </si>
  <si>
    <t>Strategy &amp; Research Officer</t>
  </si>
  <si>
    <t>Yes</t>
  </si>
  <si>
    <t>No</t>
  </si>
  <si>
    <t>Staffordshire Chamber of Commerce</t>
  </si>
  <si>
    <t>Finance &amp; Assurance</t>
  </si>
  <si>
    <t>S131 Officer</t>
  </si>
  <si>
    <t>SCC Financed</t>
  </si>
  <si>
    <t>Finance Officer</t>
  </si>
  <si>
    <t>Monitoring &amp; Evaluation</t>
  </si>
  <si>
    <t>Independent Technical Advisor</t>
  </si>
  <si>
    <t>LEP Management Fee Top Slice</t>
  </si>
  <si>
    <t>Programme Manager</t>
  </si>
  <si>
    <r>
      <t>*Future</t>
    </r>
    <r>
      <rPr>
        <sz val="11"/>
        <rFont val="Calibri"/>
        <family val="2"/>
      </rPr>
      <t xml:space="preserve"> LEP Management Fee Top Slice</t>
    </r>
  </si>
  <si>
    <t>Growing Places</t>
  </si>
  <si>
    <t>LEP Growing Places Revenue</t>
  </si>
  <si>
    <t>SAP Skills Analyst</t>
  </si>
  <si>
    <t>LEP SAP Funding + SCC match</t>
  </si>
  <si>
    <t xml:space="preserve"> </t>
  </si>
  <si>
    <t>Wider Business Support Function</t>
  </si>
  <si>
    <t>Growth Hub Running costs</t>
  </si>
  <si>
    <t>LEP Growth Funding</t>
  </si>
  <si>
    <t>Make It Team</t>
  </si>
  <si>
    <t>SoT +SCC match</t>
  </si>
  <si>
    <t>EZ Team</t>
  </si>
  <si>
    <t>LEP Business Rate Uplift</t>
  </si>
  <si>
    <t xml:space="preserve">Total </t>
  </si>
  <si>
    <t>Summary of Funding</t>
  </si>
  <si>
    <t>Growth Deal LEP Top slice</t>
  </si>
  <si>
    <t>Staffordshire Chambers of Commerce</t>
  </si>
  <si>
    <t>------------</t>
  </si>
  <si>
    <t>Staffordshire County Council Funding</t>
  </si>
  <si>
    <t xml:space="preserve">Premises </t>
  </si>
  <si>
    <t>Office Rent</t>
  </si>
  <si>
    <t>2020-21 SSLEP Operational Budget</t>
  </si>
  <si>
    <t xml:space="preserve">Staffing </t>
  </si>
  <si>
    <t>LEP Secretariat</t>
  </si>
  <si>
    <t>Investment Promotion (MIPIM)</t>
  </si>
  <si>
    <t>Redundancy Reserve Contribution</t>
  </si>
  <si>
    <t>Secretariat Office Expenses</t>
  </si>
  <si>
    <t>Secretariat Staff Training</t>
  </si>
  <si>
    <t>Legal Costs</t>
  </si>
  <si>
    <t xml:space="preserve">Legal Fees </t>
  </si>
  <si>
    <t>Core Fund Grant</t>
  </si>
  <si>
    <t>SSLEP Reserves Funding</t>
  </si>
  <si>
    <t>LEP Gross Expenditure Budget</t>
  </si>
  <si>
    <t xml:space="preserve">Branding &amp; Communications </t>
  </si>
  <si>
    <t>Matched Funding Contributions</t>
  </si>
  <si>
    <t>Local Authority Support Staff</t>
  </si>
  <si>
    <t>Stoke On Trent City Council</t>
  </si>
  <si>
    <t xml:space="preserve">Grant, Reserves &amp; Revenue Budget  </t>
  </si>
  <si>
    <t>Total Revenue Funding</t>
  </si>
  <si>
    <t>Total Revenue Funding Budget</t>
  </si>
  <si>
    <t>Operational Costs</t>
  </si>
  <si>
    <t>Business Engagement &amp; Support</t>
  </si>
  <si>
    <t>Strategic Planning</t>
  </si>
  <si>
    <t>Project &amp; Programme Development</t>
  </si>
  <si>
    <t>LEP Office Operational Budget</t>
  </si>
  <si>
    <t>LEP Network Subscription</t>
  </si>
  <si>
    <t>Apprenticeship Graduation Event</t>
  </si>
  <si>
    <t>40% contribution of Business Engagement Officer</t>
  </si>
  <si>
    <t>Chamber of Commerce Funding</t>
  </si>
  <si>
    <t>LEP Offices &amp; Shared Reception Rents</t>
  </si>
  <si>
    <t>G08</t>
  </si>
  <si>
    <t>Sharon P</t>
  </si>
  <si>
    <t xml:space="preserve">Estimated 2019-20 Core Fund Grant Carry Forward </t>
  </si>
  <si>
    <t>CRM System Management Fee</t>
  </si>
  <si>
    <t>2019-20 Core Fund Grant C/fwd</t>
  </si>
  <si>
    <t xml:space="preserve">   CRM System Management Fee</t>
  </si>
  <si>
    <t>BACKING PAPERS</t>
  </si>
  <si>
    <t>Includes Match Funding</t>
  </si>
  <si>
    <t>LEP Client Management System Costs</t>
  </si>
  <si>
    <t xml:space="preserve">   Core Fund Grant </t>
  </si>
  <si>
    <t xml:space="preserve">   Operational Director Funding </t>
  </si>
  <si>
    <t xml:space="preserve">   Chamber of Commerce Funding Contribution</t>
  </si>
  <si>
    <t>Insurance Premiums</t>
  </si>
  <si>
    <t>LIS Database Costs</t>
  </si>
  <si>
    <t xml:space="preserve">   Reserves Funding</t>
  </si>
  <si>
    <t>City of Stoke on Trent</t>
  </si>
  <si>
    <t>To be retained on the balance sheet 'Rainy Day funds'</t>
  </si>
  <si>
    <t>Chamber of CommerceMatch funding - Staff Contribution</t>
  </si>
  <si>
    <t>Chamber</t>
  </si>
  <si>
    <t>Staff Contribution</t>
  </si>
  <si>
    <t>n/a</t>
  </si>
  <si>
    <t>Staffs Chamber of Commerce</t>
  </si>
  <si>
    <t>£0.5m Core Fund Grant +total Match Funding contribution</t>
  </si>
  <si>
    <t>Inward Investment Staff Contribution</t>
  </si>
  <si>
    <t xml:space="preserve">Office expenses </t>
  </si>
  <si>
    <t>Katie Rogers</t>
  </si>
  <si>
    <t>Check</t>
  </si>
  <si>
    <r>
      <t>Total Match Support Provided to SSLEP</t>
    </r>
    <r>
      <rPr>
        <b/>
        <sz val="14"/>
        <rFont val="Arial"/>
        <family val="2"/>
      </rPr>
      <t>*</t>
    </r>
  </si>
  <si>
    <t>Public Sector Match Funding</t>
  </si>
  <si>
    <t>£50,000 Make It Team (Inward Investment) funding % split between County &amp; City.</t>
  </si>
  <si>
    <t>Staffordshire County Council Direct Funding</t>
  </si>
  <si>
    <t>* Minimum of £250,000 macth funding required to secure the annual Core Fund Grant</t>
  </si>
  <si>
    <t>A. Name of Local Enterprise Partnership</t>
  </si>
  <si>
    <t>Description (For salaries include FTE, for other items a short description of example expenditure)</t>
  </si>
  <si>
    <t>Organisation type 
(Use dropdown)</t>
  </si>
  <si>
    <t xml:space="preserve">Type of match funding </t>
  </si>
  <si>
    <r>
      <t xml:space="preserve">D.  Local Authority full bank account details 
  </t>
    </r>
    <r>
      <rPr>
        <sz val="11"/>
        <color theme="1"/>
        <rFont val="Arial"/>
        <family val="2"/>
      </rPr>
      <t xml:space="preserve">   (Name of bank, account number, sort code etc.)</t>
    </r>
  </si>
  <si>
    <t xml:space="preserve">E.  Name and signature of Local Enterprise Partnership Chair </t>
  </si>
  <si>
    <t>F.  Name and signature from section 31 accountable local authority</t>
  </si>
  <si>
    <t>Stoke on Trent &amp; Staffordshire Local Enterprise Partnership</t>
  </si>
  <si>
    <t>Printed: Alun Rogers</t>
  </si>
  <si>
    <t xml:space="preserve">Lloyds Bank, Fountain Square, Hanley, Stoke on Trent. ST1 1LE                                                              Account Name - SCC County Fund                                                                                                    Sort Code: 30-93-83                                                                                                                       Account Number: 44093360                                                                                                                                            </t>
  </si>
  <si>
    <t>In Kind Contribution</t>
  </si>
  <si>
    <t>in-kind</t>
  </si>
  <si>
    <t>Cash contribution</t>
  </si>
  <si>
    <t>NOTES</t>
  </si>
  <si>
    <t>Research</t>
  </si>
  <si>
    <t>IT</t>
  </si>
  <si>
    <t>Support towards LEP Board Member activities and expenses incl: Chair Honorarium, Travel &amp; other expenses</t>
  </si>
  <si>
    <t>LEP Network; Midlands Engine &amp; Constellation Partnership</t>
  </si>
  <si>
    <t>Annual LEP Office Rental</t>
  </si>
  <si>
    <t>Project Development</t>
  </si>
  <si>
    <t>LIS Project Development Fund</t>
  </si>
  <si>
    <t xml:space="preserve">LEP Board Member expenses </t>
  </si>
  <si>
    <t>Promotional Investment Activities (MIPIM)</t>
  </si>
  <si>
    <t>Redundancy Costs</t>
  </si>
  <si>
    <t>Redundancy Reserve Funding Contribution</t>
  </si>
  <si>
    <t>Training Costs</t>
  </si>
  <si>
    <t>Annual Audit Costs</t>
  </si>
  <si>
    <t>Communications</t>
  </si>
  <si>
    <t>Office Expenses</t>
  </si>
  <si>
    <t>Contracting Legal Costs</t>
  </si>
  <si>
    <t>Estimated Legal Fees</t>
  </si>
  <si>
    <t>LEP Reserve Funding</t>
  </si>
  <si>
    <t>Operations Director Funding (Staffordshire County Council)</t>
  </si>
  <si>
    <t>Inward Investment</t>
  </si>
  <si>
    <t>Make It Team Staff Contribution</t>
  </si>
  <si>
    <t>Skills Funding Contribution</t>
  </si>
  <si>
    <t>Collaberative LEP Work</t>
  </si>
  <si>
    <t>Funding from LEP Reserves (Cash)</t>
  </si>
  <si>
    <t>SCC</t>
  </si>
  <si>
    <t>Sub Total - Total LEP Budget + Total Match Funding</t>
  </si>
  <si>
    <t>Communications contract NEW</t>
  </si>
  <si>
    <t>LEP Core funds</t>
  </si>
  <si>
    <t>Temp Support</t>
  </si>
  <si>
    <t>Clare Abbots</t>
  </si>
  <si>
    <t>Hatch Associates</t>
  </si>
  <si>
    <t>Lucy Sefton</t>
  </si>
  <si>
    <t>Core</t>
  </si>
  <si>
    <t>Communications Contract (Social Communications)</t>
  </si>
  <si>
    <t>STRICTLY CONFIDENTIAL - 2021-22 SSLEP Establishment Budget Calculations</t>
  </si>
  <si>
    <t>2020/21 Core Fund Carry Forward Funding</t>
  </si>
  <si>
    <t xml:space="preserve">   2020-21 Revenue Grant Carry Forward Funding</t>
  </si>
  <si>
    <t>LEP CORE FUNDING APPLICATION - 2021-22</t>
  </si>
  <si>
    <t>Sector/Governance &amp; Project Officer</t>
  </si>
  <si>
    <t>Lucy Sefton - 3 days/week</t>
  </si>
  <si>
    <t>Sector/Governance &amp; Project Officer (G8 to G10)</t>
  </si>
  <si>
    <t>New post</t>
  </si>
  <si>
    <t>Clare Abbots(2 days/week)</t>
  </si>
  <si>
    <t>Communication internal support</t>
  </si>
  <si>
    <t>Graduate posts x 2 (£21k + oncosts if SCC)</t>
  </si>
  <si>
    <t>Getting Building Fund</t>
  </si>
  <si>
    <t>Budget contribution not person</t>
  </si>
  <si>
    <t xml:space="preserve">Communications, PR &amp; Marketing Support </t>
  </si>
  <si>
    <t>LEP Core Funds+SCC contribution of £89,690</t>
  </si>
  <si>
    <t>Graduate posts x 2</t>
  </si>
  <si>
    <t>Do we show this as cash contribution rather than post</t>
  </si>
  <si>
    <t>SLA Staff ICT</t>
  </si>
  <si>
    <t>New line added</t>
  </si>
  <si>
    <t>SLA IT support</t>
  </si>
  <si>
    <t>LEP Staffs ICT support</t>
  </si>
  <si>
    <t>LEP SLA  IT agreement</t>
  </si>
  <si>
    <t>G15</t>
  </si>
  <si>
    <t>SCP (from 1/4/21)</t>
  </si>
  <si>
    <t>Supn 26.6%</t>
  </si>
  <si>
    <t>Cash Contribution for salary only</t>
  </si>
  <si>
    <t>2020-21 Core Fund Grant C/fwd</t>
  </si>
  <si>
    <t>Total 2021-22 LEP Core Fund Budget</t>
  </si>
  <si>
    <t>Project Development Fund</t>
  </si>
  <si>
    <t>Current Funding Surplus/Shortfall</t>
  </si>
  <si>
    <r>
      <t xml:space="preserve">B.  Local Enterprise Partnership’s outline operating budget for 2021-22
</t>
    </r>
    <r>
      <rPr>
        <sz val="11"/>
        <color theme="1"/>
        <rFont val="Arial"/>
        <family val="2"/>
      </rPr>
      <t xml:space="preserve">
Set out below the outline of the Local Enterprise Partnership’s core operating budget for 2021-22 to support the Board. This should include the key elements of the partnership’s core operating budget.
To add a new row please select the row number (to highlight whole row), right click and insert.
</t>
    </r>
    <r>
      <rPr>
        <b/>
        <sz val="11"/>
        <color theme="1"/>
        <rFont val="Arial"/>
        <family val="2"/>
      </rPr>
      <t>(a minimum of £250,000 match funding is required to receive £500,000 core funding)</t>
    </r>
  </si>
  <si>
    <r>
      <t xml:space="preserve">C.  Local Match Funding 
</t>
    </r>
    <r>
      <rPr>
        <sz val="11"/>
        <color theme="1"/>
        <rFont val="Arial"/>
        <family val="2"/>
      </rPr>
      <t>(Please set out using the fields provided the key elements of local matched funding for 2021-22 – setting out the nature of the contribution eg. cash contribution, seconded staff etc. and the organisation(s) concerned. 
To add a new row please select the row number (to highlight whole row), right click and insert.</t>
    </r>
  </si>
  <si>
    <t>Core Fund Grant 2021-22</t>
  </si>
  <si>
    <t xml:space="preserve">All Grades are based on estimated 2021-22 Local Government Pay Scales (except Chamber of Commerce employees) and are set at the employee's current SCP. </t>
  </si>
  <si>
    <t>Simon Ablewhite (Head of Decision Making &amp; S151 LEP Officer) has been regraded to G15.</t>
  </si>
  <si>
    <t>Seed Corn' Project Development Fund</t>
  </si>
  <si>
    <t xml:space="preserve">   'Seed Corn' Project Development Fund</t>
  </si>
  <si>
    <t>ICT SLA agreement - NEW</t>
  </si>
  <si>
    <t>New  - car lease</t>
  </si>
  <si>
    <t>Full Time Costs (@ 2021/22 rates)</t>
  </si>
  <si>
    <t>Reconciliation to 21-22 Core Fund Grant Application:</t>
  </si>
  <si>
    <t>21-22 Core Fund Grant - BACKING PAPERS</t>
  </si>
  <si>
    <t>Income</t>
  </si>
  <si>
    <t>All Chamber of Commerce (CoC) paid staff costings include 2% Pay Award for 2021-22 (TBC)</t>
  </si>
  <si>
    <t>Less, Cash funding contributions &amp; Reserves funding to the LEP Budget</t>
  </si>
  <si>
    <r>
      <t xml:space="preserve">The LEP publishes documents on to its website, holds an Annual Conference which is open to the public, holds local and sectoral enagement events, promotes the benefits of the investment it has unlocked in the press, publishes an Annual Report &amp; Accounts and new Delivery Plan. The Annual Performance Review examined progress in delivery and agreed actions where necessary. </t>
    </r>
    <r>
      <rPr>
        <sz val="12"/>
        <color rgb="FFFF0000"/>
        <rFont val="Arial"/>
        <family val="2"/>
      </rPr>
      <t>The Assurance Framework, which is in place, is being amended to ensure that it is compliant with the national guidance published in January 2019 and with our new Company limited by guarantee.</t>
    </r>
  </si>
  <si>
    <t>Lloyds Bank, Fountain Square, Hanley, Stoke-on-Trent ST1 1LE                                                                                                   Account Name - Main                                                                                                                        Sort Code 30-93-83                                                                                                                               Account No 03004492</t>
  </si>
  <si>
    <t>Mark Parkinson, Interim CEO, Stoke-on-Trent and Staffordshire Local Enterprise Partnership. mark.parkinson@enterprisestokestaffs.org.uk  Tel 01785 719000</t>
  </si>
  <si>
    <t xml:space="preserve">Staffordshire County Council, 1 Staffordshire Place, Stafford ST16 2DH. </t>
  </si>
  <si>
    <r>
      <t xml:space="preserve">Core Funding: £500,000 ; Minimum Additional Funding: £250,000 ; Total: £750,000  </t>
    </r>
    <r>
      <rPr>
        <sz val="12"/>
        <rFont val="Arial"/>
        <family val="2"/>
      </rPr>
      <t xml:space="preserve">We seek the full allocation. This will ensure that the LEP can enhance its capacity to 1) deliver the LIS priorities and 2) maintain pace of delivery on Local Growth Deal; Getting Building Fund &amp; City Deal projects while also strengthening our governance, policy/strategy development, business engagement &amp; approach to communications and creating a culture of partnership working within SSLEP and with wider LEP &amp; sectoral partners, Midlands Engine and Constellation Partnership. Our aim is to ensure that the partnership will become sustainable in the long term. In line with the LEP review requirements, our Delivery Plan for 2021-22 is currently under development and our Annual Report and Accounts can be found at: </t>
    </r>
    <r>
      <rPr>
        <b/>
        <i/>
        <sz val="12"/>
        <rFont val="Arial"/>
        <family val="2"/>
      </rPr>
      <t xml:space="preserve">https://www.stokestaffslep.org.uk/delivering-growth/annual-reports/   </t>
    </r>
  </si>
  <si>
    <t>Insurance - Indemnity</t>
  </si>
  <si>
    <t>7 FTE Posts</t>
  </si>
  <si>
    <t>SCC base budget funding contirbution (CEO )</t>
  </si>
  <si>
    <t>New Post (72% funded by SCC budget contribution)</t>
  </si>
  <si>
    <t>SSLEP Project Management Reserves Funding</t>
  </si>
  <si>
    <t>3 year fixed term contract</t>
  </si>
  <si>
    <t>Hatch Regeneris Consultancy Contract</t>
  </si>
  <si>
    <t>Getting Building Fund Capacity Grant C/fwd Balance</t>
  </si>
  <si>
    <t>VAT</t>
  </si>
  <si>
    <t>20-21 Working Paper - Since been Revised</t>
  </si>
  <si>
    <t>Total Cost</t>
  </si>
  <si>
    <t>Budget</t>
  </si>
  <si>
    <t>LGD Reserve (SP)</t>
  </si>
  <si>
    <t>Inclusive of VAT</t>
  </si>
  <si>
    <t>Total Net Revenue Funding Budget</t>
  </si>
  <si>
    <t xml:space="preserve">2020-21 SSLEP Estimated Revenue Reserve Balances (as @ 18/03/21) </t>
  </si>
  <si>
    <t xml:space="preserve">Opening </t>
  </si>
  <si>
    <t>Estimated</t>
  </si>
  <si>
    <t>Balance</t>
  </si>
  <si>
    <t xml:space="preserve">Closing Balance </t>
  </si>
  <si>
    <t>Bal Sheet Code</t>
  </si>
  <si>
    <t>Reserve</t>
  </si>
  <si>
    <t>As @ 01-04-20</t>
  </si>
  <si>
    <t>As @ 31-03-21</t>
  </si>
  <si>
    <t>Notes/Comments</t>
  </si>
  <si>
    <t>ZZ9999 93402</t>
  </si>
  <si>
    <t>LEP Admin Reserve</t>
  </si>
  <si>
    <t>LEP Admin Fees (LGD &amp; GBF) net of Legal Funding Agreement Charges &amp; Staff Recharges to Reserves.</t>
  </si>
  <si>
    <t>Refer to 2nd tab for details</t>
  </si>
  <si>
    <t>ZZ9999 93401</t>
  </si>
  <si>
    <t xml:space="preserve">Growing Places Fund - Revenue </t>
  </si>
  <si>
    <t>The GPF Revenue Reserve currently funds the Operational costs of the GPF Loan Scheme (staff time &amp; contrcating costs)</t>
  </si>
  <si>
    <t>Refer to 3rd tab for details</t>
  </si>
  <si>
    <t>ZZ9999 93400</t>
  </si>
  <si>
    <t>LEP Core Fund Grant - Revenue</t>
  </si>
  <si>
    <t>Refer to 4th tab for details</t>
  </si>
  <si>
    <t>However, 2 GBF schemes are still at the Full Business Case stage and are now likely to slip into 21-22 before their respective FA's are finally in place, so the estimated closing balance may well be slightly lower at the Year End.</t>
  </si>
  <si>
    <t>LEP Core budget - Used to support the SSLEP Secretariat's Capacity &amp; Funding Programme Development.</t>
  </si>
  <si>
    <t>Total Uncommitted Revenue Reserve Balance (as @ 23-03-21)</t>
  </si>
  <si>
    <t>Hatch Regeneris Consultancy Contract costs to be charged directly to the balance of the GBF Capacity Grant C/fwd in 21-22. Therefore, it is included in the 21-22 LEP Core Budget, but NOT in the 21-22 Core Fund Grant Application.</t>
  </si>
  <si>
    <r>
      <t xml:space="preserve">Estimated Revenue Reserve balances have been estimated as at </t>
    </r>
    <r>
      <rPr>
        <b/>
        <i/>
        <sz val="12"/>
        <color theme="1"/>
        <rFont val="Arial"/>
        <family val="2"/>
      </rPr>
      <t>23/03/21</t>
    </r>
    <r>
      <rPr>
        <sz val="12"/>
        <color theme="1"/>
        <rFont val="Arial"/>
        <family val="2"/>
      </rPr>
      <t xml:space="preserve"> and may be subject to minor net change at the Year End.</t>
    </r>
  </si>
  <si>
    <t xml:space="preserve">The estimated LEP Admin Reserve balance assumes that ALL 12 GBF Schemes are contracted, i.e. a Funding Agreement is in place before the 31st March 21. </t>
  </si>
  <si>
    <t>Although the above section outlines the direct operational budget of the LEP, it should be noted that the sustainability of the LEP is based on the Board's ability to 'shape and influence' the spending of its partners including Growth Authorities in the area. In particular, the LEP will influence how £23.7m of Getting Building Fund investment; Growing Places Loans Fund to SMEs; Growth Hub Grant funding to support local businesses and £155.15m of ERDF &amp; ESF funding is spent on projects for local economic growth by the end of 2021-22.</t>
  </si>
  <si>
    <t>Public Sector 'Non Cash' Match Funding (see below)</t>
  </si>
  <si>
    <t>Annual match funding (Officer Time) contributions to the SSLEP consisting of:</t>
  </si>
  <si>
    <t>Total LEP Core Budget (incl. Match Funding)</t>
  </si>
  <si>
    <t xml:space="preserve">Total Public Sector Match Funding </t>
  </si>
  <si>
    <t>SoT Non Cash Match Funding</t>
  </si>
  <si>
    <t>SCC Non Cash Match Funding</t>
  </si>
  <si>
    <t>SCC Cash Match Funding</t>
  </si>
  <si>
    <t>Chamber of Commerce Cash Match Funding</t>
  </si>
  <si>
    <t xml:space="preserve">Total Match Funding </t>
  </si>
  <si>
    <t xml:space="preserve">6.  Local Match Funding 
(Please set out using the fields provided the key elements of local matched funding for 2021-22 – setting out the nature of the contribution eg. cash contribution, seconded staff etc. and the organisation(s) concerned. 
To add a new row please select the row number (to highlight whole row), right click and insert.
</t>
  </si>
  <si>
    <t>Total 2021-22 LEP Core Fund Grant to be Claimed</t>
  </si>
  <si>
    <t>Pubic Sector</t>
  </si>
  <si>
    <t>HS2/A50 Corridor/Constellation Partnership</t>
  </si>
  <si>
    <t xml:space="preserve">5.  Local Enterprise Partnership’s outline operating budget for 2021-22
Set out below the outline of the Local Enterprise Partnership’s core operating budget for 2021-22 to support the Board. This should include the key elements of the partnership’s core operating budget.
To add a new row please select the row number (to highlight whole row), right click and insert.
</t>
  </si>
  <si>
    <t xml:space="preserve">4.  Level of funding being sought for 2021-22
     (£500,000 core funding, 
      maximum allocation of match funding £250,000). </t>
  </si>
  <si>
    <t>2021-22 FORM FOR FUNDING</t>
  </si>
  <si>
    <t>7. Provide confirmation that agreement has been reached over how the 2021-22 funding will be spent (and by whom)</t>
  </si>
  <si>
    <t>In Kind Staff Costs contribution - 2.1 FTE (Officer Time)</t>
  </si>
  <si>
    <t>In Kind Staff Costs contribution - 1.3 FTE (Officer Time)</t>
  </si>
  <si>
    <t>cash contribution - Staffordshire Chamber of Commerce</t>
  </si>
  <si>
    <t>cash contribution - Staffordshire CC</t>
  </si>
  <si>
    <t xml:space="preserve">Reserve Funding for 2020-21 </t>
  </si>
  <si>
    <t>2019-20 Core Fund Reserve</t>
  </si>
  <si>
    <t>Funding from LEP Core Fund Reserves (Cash)</t>
  </si>
  <si>
    <t>Refer to CoC Match Funding tab figure.</t>
  </si>
  <si>
    <t>SCC Cash contribution towards the funding of the LEP CEO post.</t>
  </si>
  <si>
    <t xml:space="preserve">SOTCC In Kind Match (1.3 FTE), plus £31k Make It In Kind Contribution </t>
  </si>
  <si>
    <t xml:space="preserve">SCC In Kind Match (1.13 FTE), plus £19k Make It In Kind Contribution </t>
  </si>
  <si>
    <t>Appendix A - 2021-22 SSLEP Operational Budget</t>
  </si>
  <si>
    <t>Less, LEP Reserves Funding (Admin Reserve &amp; Core Fund Reserve)</t>
  </si>
  <si>
    <t>Less, GBF Capacity Grant C/fwd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</si>
</sst>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0.00_-;\-* #,##0.00_-;_-* &quot;-&quot;??_-;_-@_-"/>
    <numFmt numFmtId="164" formatCode="&quot;£&quot;#,##0.00"/>
    <numFmt numFmtId="165" formatCode="&quot;£&quot;#,##0"/>
    <numFmt numFmtId="166" formatCode="_-&quot;£&quot;* #,##0_-;\-&quot;£&quot;* #,##0_-;_-&quot;£&quot;* &quot;-&quot;??_-;_-@_-"/>
    <numFmt numFmtId="167" formatCode="_-* #,##0_-;\-* #,##0_-;_-* &quot;-&quot;??_-;_-@_-"/>
    <numFmt numFmtId="168" formatCode="#,##0_ ;[Red]\-#,##0\ "/>
  </numFmts>
  <fonts count="63" x14ac:knownFonts="1">
    <font>
      <sz val="12"/>
      <color theme="1"/>
      <name val="Arial"/>
      <family val="2"/>
    </font>
    <font>
      <sz val="12"/>
      <color theme="1"/>
      <name val="Arial"/>
      <family val="2"/>
    </font>
    <font>
      <b/>
      <sz val="12"/>
      <color theme="1"/>
      <name val="Arial"/>
      <family val="2"/>
    </font>
    <font>
      <sz val="9"/>
      <color theme="1"/>
      <name val="Arial"/>
      <family val="2"/>
    </font>
    <font>
      <b/>
      <sz val="10"/>
      <color theme="1"/>
      <name val="Arial"/>
      <family val="2"/>
    </font>
    <font>
      <i/>
      <sz val="12"/>
      <color rgb="FFFF0000"/>
      <name val="Arial"/>
      <family val="2"/>
    </font>
    <font>
      <b/>
      <sz val="12"/>
      <name val="Arial"/>
      <family val="2"/>
    </font>
    <font>
      <sz val="12"/>
      <color rgb="FFFF0000"/>
      <name val="Arial"/>
      <family val="2"/>
    </font>
    <font>
      <sz val="12"/>
      <name val="Arial"/>
      <family val="2"/>
    </font>
    <font>
      <b/>
      <sz val="12"/>
      <color rgb="FFFF0000"/>
      <name val="Arial"/>
      <family val="2"/>
    </font>
    <font>
      <sz val="9"/>
      <color indexed="81"/>
      <name val="Tahoma"/>
      <family val="2"/>
    </font>
    <font>
      <b/>
      <sz val="9"/>
      <color indexed="81"/>
      <name val="Tahoma"/>
      <family val="2"/>
    </font>
    <font>
      <b/>
      <sz val="11"/>
      <color theme="1"/>
      <name val="Calibri"/>
      <family val="2"/>
      <scheme val="minor"/>
    </font>
    <font>
      <sz val="10"/>
      <name val="Arial"/>
      <family val="2"/>
    </font>
    <font>
      <sz val="10"/>
      <name val="Arial"/>
      <family val="2"/>
    </font>
    <font>
      <sz val="11"/>
      <color theme="1"/>
      <name val="Calibri"/>
      <family val="2"/>
      <scheme val="minor"/>
    </font>
    <font>
      <sz val="10"/>
      <color theme="1"/>
      <name val="Arial"/>
      <family val="2"/>
    </font>
    <font>
      <b/>
      <i/>
      <sz val="10"/>
      <color theme="1"/>
      <name val="Arial"/>
      <family val="2"/>
    </font>
    <font>
      <b/>
      <sz val="11"/>
      <color rgb="FFFF0000"/>
      <name val="Arial"/>
      <family val="2"/>
    </font>
    <font>
      <b/>
      <u/>
      <sz val="14"/>
      <color theme="1"/>
      <name val="Calibri"/>
      <family val="2"/>
      <scheme val="minor"/>
    </font>
    <font>
      <b/>
      <sz val="14"/>
      <color theme="1"/>
      <name val="Calibri"/>
      <family val="2"/>
      <scheme val="minor"/>
    </font>
    <font>
      <sz val="12"/>
      <color theme="1"/>
      <name val="Calibri"/>
      <family val="2"/>
      <scheme val="minor"/>
    </font>
    <font>
      <sz val="12"/>
      <name val="Calibri"/>
      <family val="2"/>
      <scheme val="minor"/>
    </font>
    <font>
      <b/>
      <sz val="11"/>
      <color theme="0"/>
      <name val="Calibri"/>
      <family val="2"/>
      <scheme val="minor"/>
    </font>
    <font>
      <b/>
      <sz val="11"/>
      <name val="Calibri"/>
      <family val="2"/>
      <scheme val="minor"/>
    </font>
    <font>
      <sz val="10"/>
      <name val="Calibri"/>
      <family val="2"/>
      <scheme val="minor"/>
    </font>
    <font>
      <sz val="11"/>
      <name val="Calibri"/>
      <family val="2"/>
      <scheme val="minor"/>
    </font>
    <font>
      <b/>
      <u/>
      <sz val="11"/>
      <color theme="1"/>
      <name val="Calibri"/>
      <family val="2"/>
      <scheme val="minor"/>
    </font>
    <font>
      <sz val="11"/>
      <color rgb="FFFF0000"/>
      <name val="Calibri"/>
      <family val="2"/>
      <scheme val="minor"/>
    </font>
    <font>
      <b/>
      <i/>
      <sz val="12"/>
      <color rgb="FFFF0000"/>
      <name val="Arial"/>
      <family val="2"/>
    </font>
    <font>
      <sz val="20"/>
      <color theme="1"/>
      <name val="Calibri"/>
      <family val="2"/>
      <scheme val="minor"/>
    </font>
    <font>
      <b/>
      <sz val="12"/>
      <name val="Calibri"/>
      <family val="2"/>
    </font>
    <font>
      <b/>
      <sz val="11"/>
      <color rgb="FF000000"/>
      <name val="Calibri"/>
      <family val="2"/>
    </font>
    <font>
      <sz val="11"/>
      <color rgb="FF000000"/>
      <name val="Calibri"/>
      <family val="2"/>
    </font>
    <font>
      <b/>
      <sz val="11"/>
      <name val="Calibri"/>
      <family val="2"/>
    </font>
    <font>
      <sz val="11"/>
      <name val="Calibri"/>
      <family val="2"/>
    </font>
    <font>
      <i/>
      <sz val="11"/>
      <name val="Calibri"/>
      <family val="2"/>
    </font>
    <font>
      <b/>
      <u/>
      <sz val="11"/>
      <name val="Calibri"/>
      <family val="2"/>
    </font>
    <font>
      <b/>
      <u/>
      <sz val="12"/>
      <name val="Arial"/>
      <family val="2"/>
    </font>
    <font>
      <b/>
      <u/>
      <sz val="14"/>
      <name val="Arial"/>
      <family val="2"/>
    </font>
    <font>
      <b/>
      <sz val="10"/>
      <name val="Arial"/>
      <family val="2"/>
    </font>
    <font>
      <b/>
      <i/>
      <sz val="12"/>
      <name val="Arial"/>
      <family val="2"/>
    </font>
    <font>
      <b/>
      <sz val="20"/>
      <color theme="1"/>
      <name val="Calibri"/>
      <family val="2"/>
      <scheme val="minor"/>
    </font>
    <font>
      <b/>
      <i/>
      <sz val="16"/>
      <name val="Arial"/>
      <family val="2"/>
    </font>
    <font>
      <b/>
      <i/>
      <sz val="16"/>
      <color rgb="FFFF0000"/>
      <name val="Arial"/>
      <family val="2"/>
    </font>
    <font>
      <sz val="8"/>
      <color rgb="FFFF0000"/>
      <name val="Arial"/>
      <family val="2"/>
    </font>
    <font>
      <b/>
      <sz val="8"/>
      <color rgb="FFFF0000"/>
      <name val="Arial"/>
      <family val="2"/>
    </font>
    <font>
      <b/>
      <sz val="14"/>
      <name val="Arial"/>
      <family val="2"/>
    </font>
    <font>
      <b/>
      <sz val="11"/>
      <color theme="1"/>
      <name val="Arial"/>
      <family val="2"/>
    </font>
    <font>
      <sz val="11"/>
      <color theme="1"/>
      <name val="Arial"/>
      <family val="2"/>
    </font>
    <font>
      <b/>
      <sz val="11"/>
      <name val="Arial"/>
      <family val="2"/>
    </font>
    <font>
      <sz val="9"/>
      <color rgb="FFFF0000"/>
      <name val="Arial"/>
      <family val="2"/>
    </font>
    <font>
      <sz val="11"/>
      <color rgb="FFFF0000"/>
      <name val="Arial"/>
      <family val="2"/>
    </font>
    <font>
      <b/>
      <sz val="20"/>
      <color rgb="FFFF0000"/>
      <name val="Calibri"/>
      <family val="2"/>
      <scheme val="minor"/>
    </font>
    <font>
      <sz val="11"/>
      <name val="Arial"/>
      <family val="2"/>
    </font>
    <font>
      <sz val="8"/>
      <name val="Arial"/>
      <family val="2"/>
    </font>
    <font>
      <b/>
      <i/>
      <sz val="14"/>
      <color rgb="FFFF0000"/>
      <name val="Arial"/>
      <family val="2"/>
    </font>
    <font>
      <b/>
      <sz val="11"/>
      <color rgb="FFFF0000"/>
      <name val="Calibri"/>
      <family val="2"/>
      <scheme val="minor"/>
    </font>
    <font>
      <b/>
      <i/>
      <sz val="10"/>
      <name val="Arial"/>
      <family val="2"/>
    </font>
    <font>
      <b/>
      <u/>
      <sz val="12"/>
      <color theme="1"/>
      <name val="Arial"/>
      <family val="2"/>
    </font>
    <font>
      <b/>
      <i/>
      <sz val="12"/>
      <color theme="1"/>
      <name val="Arial"/>
      <family val="2"/>
    </font>
    <font>
      <b/>
      <sz val="8"/>
      <color theme="1"/>
      <name val="Arial"/>
      <family val="2"/>
    </font>
    <font>
      <sz val="9"/>
      <name val="Arial"/>
      <family val="2"/>
    </font>
  </fonts>
  <fills count="23">
    <fill>
      <patternFill patternType="none"/>
    </fill>
    <fill>
      <patternFill patternType="gray125"/>
    </fill>
    <fill>
      <patternFill patternType="solid">
        <fgColor theme="0" tint="-0.249977111117893"/>
        <bgColor indexed="64"/>
      </patternFill>
    </fill>
    <fill>
      <patternFill patternType="solid">
        <fgColor rgb="FFCCCCCC"/>
        <bgColor indexed="64"/>
      </patternFill>
    </fill>
    <fill>
      <patternFill patternType="solid">
        <fgColor rgb="FFC0C0C0"/>
        <bgColor indexed="64"/>
      </patternFill>
    </fill>
    <fill>
      <patternFill patternType="solid">
        <fgColor rgb="FFFFFF00"/>
        <bgColor indexed="64"/>
      </patternFill>
    </fill>
    <fill>
      <patternFill patternType="solid">
        <fgColor theme="1"/>
        <bgColor indexed="64"/>
      </patternFill>
    </fill>
    <fill>
      <patternFill patternType="solid">
        <fgColor rgb="FFFFC000"/>
        <bgColor indexed="64"/>
      </patternFill>
    </fill>
    <fill>
      <patternFill patternType="solid">
        <fgColor theme="9" tint="-0.249977111117893"/>
        <bgColor indexed="64"/>
      </patternFill>
    </fill>
    <fill>
      <patternFill patternType="solid">
        <fgColor rgb="FF92D050"/>
        <bgColor indexed="64"/>
      </patternFill>
    </fill>
    <fill>
      <patternFill patternType="solid">
        <fgColor theme="3" tint="0.59999389629810485"/>
        <bgColor indexed="64"/>
      </patternFill>
    </fill>
    <fill>
      <patternFill patternType="solid">
        <fgColor theme="9"/>
        <bgColor indexed="64"/>
      </patternFill>
    </fill>
    <fill>
      <patternFill patternType="solid">
        <fgColor theme="9" tint="0.39997558519241921"/>
        <bgColor indexed="64"/>
      </patternFill>
    </fill>
    <fill>
      <patternFill patternType="solid">
        <fgColor rgb="FFFF0000"/>
        <bgColor indexed="64"/>
      </patternFill>
    </fill>
    <fill>
      <patternFill patternType="solid">
        <fgColor rgb="FFFFE599"/>
        <bgColor indexed="64"/>
      </patternFill>
    </fill>
    <fill>
      <patternFill patternType="solid">
        <fgColor rgb="FFFFD966"/>
        <bgColor indexed="64"/>
      </patternFill>
    </fill>
    <fill>
      <patternFill patternType="solid">
        <fgColor rgb="FFF7CAAC"/>
        <bgColor indexed="64"/>
      </patternFill>
    </fill>
    <fill>
      <patternFill patternType="solid">
        <fgColor rgb="FFC5E0B3"/>
        <bgColor indexed="64"/>
      </patternFill>
    </fill>
    <fill>
      <patternFill patternType="solid">
        <fgColor rgb="FFDEEAF6"/>
        <bgColor indexed="64"/>
      </patternFill>
    </fill>
    <fill>
      <patternFill patternType="solid">
        <fgColor rgb="FFD1C3D5"/>
        <bgColor indexed="64"/>
      </patternFill>
    </fill>
    <fill>
      <patternFill patternType="solid">
        <fgColor rgb="FFFFDD71"/>
        <bgColor indexed="64"/>
      </patternFill>
    </fill>
    <fill>
      <patternFill patternType="solid">
        <fgColor theme="5" tint="0.39997558519241921"/>
        <bgColor indexed="64"/>
      </patternFill>
    </fill>
    <fill>
      <patternFill patternType="solid">
        <fgColor theme="0"/>
        <bgColor indexed="64"/>
      </patternFill>
    </fill>
  </fills>
  <borders count="47">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auto="1"/>
      </right>
      <top style="medium">
        <color indexed="64"/>
      </top>
      <bottom/>
      <diagonal/>
    </border>
    <border>
      <left/>
      <right style="medium">
        <color auto="1"/>
      </right>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double">
        <color indexed="64"/>
      </bottom>
      <diagonal/>
    </border>
    <border>
      <left style="medium">
        <color indexed="64"/>
      </left>
      <right/>
      <top style="medium">
        <color indexed="64"/>
      </top>
      <bottom style="thin">
        <color auto="1"/>
      </bottom>
      <diagonal/>
    </border>
    <border>
      <left style="thin">
        <color indexed="64"/>
      </left>
      <right/>
      <top style="medium">
        <color indexed="64"/>
      </top>
      <bottom style="medium">
        <color indexed="64"/>
      </bottom>
      <diagonal/>
    </border>
    <border>
      <left/>
      <right style="medium">
        <color indexed="64"/>
      </right>
      <top/>
      <bottom style="thin">
        <color auto="1"/>
      </bottom>
      <diagonal/>
    </border>
    <border>
      <left style="medium">
        <color indexed="64"/>
      </left>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xf numFmtId="43" fontId="13" fillId="0" borderId="0" applyFont="0" applyFill="0" applyBorder="0" applyAlignment="0" applyProtection="0"/>
    <xf numFmtId="0" fontId="14" fillId="0" borderId="0"/>
    <xf numFmtId="0" fontId="1" fillId="0" borderId="0"/>
    <xf numFmtId="0" fontId="13" fillId="0" borderId="0"/>
    <xf numFmtId="43" fontId="13"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0" fontId="13" fillId="0" borderId="0"/>
    <xf numFmtId="0" fontId="15" fillId="0" borderId="0"/>
    <xf numFmtId="9" fontId="13"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cellStyleXfs>
  <cellXfs count="562">
    <xf numFmtId="0" fontId="0" fillId="0" borderId="0" xfId="0"/>
    <xf numFmtId="0" fontId="2" fillId="3" borderId="3" xfId="0" applyFont="1" applyFill="1" applyBorder="1" applyAlignment="1">
      <alignment horizontal="justify" vertical="center" wrapText="1"/>
    </xf>
    <xf numFmtId="0" fontId="2" fillId="0" borderId="0" xfId="0" applyFont="1"/>
    <xf numFmtId="0" fontId="1" fillId="0" borderId="12" xfId="0" applyFont="1" applyBorder="1" applyAlignment="1">
      <alignment horizontal="justify"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xf numFmtId="0" fontId="2" fillId="0" borderId="0" xfId="0" applyFont="1" applyBorder="1" applyAlignment="1">
      <alignment vertical="center" wrapText="1"/>
    </xf>
    <xf numFmtId="0" fontId="2" fillId="3" borderId="3" xfId="0" applyFont="1" applyFill="1" applyBorder="1" applyAlignment="1">
      <alignment vertical="center" wrapText="1"/>
    </xf>
    <xf numFmtId="0" fontId="0" fillId="0" borderId="16" xfId="0" applyBorder="1"/>
    <xf numFmtId="0" fontId="0" fillId="0" borderId="17" xfId="0" applyBorder="1"/>
    <xf numFmtId="0" fontId="2"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0" fillId="0" borderId="0" xfId="0" applyBorder="1" applyAlignment="1"/>
    <xf numFmtId="0" fontId="0" fillId="0" borderId="0" xfId="0" applyBorder="1" applyAlignment="1">
      <alignment wrapText="1"/>
    </xf>
    <xf numFmtId="0" fontId="0" fillId="0" borderId="16" xfId="0" applyBorder="1" applyAlignment="1">
      <alignment wrapText="1"/>
    </xf>
    <xf numFmtId="0" fontId="0" fillId="0" borderId="18" xfId="0" applyBorder="1" applyAlignment="1">
      <alignment wrapText="1"/>
    </xf>
    <xf numFmtId="0" fontId="0" fillId="0" borderId="17" xfId="0" applyBorder="1" applyAlignment="1">
      <alignment wrapText="1"/>
    </xf>
    <xf numFmtId="0" fontId="3" fillId="0" borderId="16" xfId="0" applyFont="1" applyBorder="1" applyAlignment="1">
      <alignment wrapText="1"/>
    </xf>
    <xf numFmtId="0" fontId="3" fillId="0" borderId="17" xfId="0" applyFont="1" applyBorder="1"/>
    <xf numFmtId="0" fontId="0" fillId="0" borderId="18" xfId="0" applyBorder="1" applyAlignment="1">
      <alignment horizontal="left"/>
    </xf>
    <xf numFmtId="0" fontId="0" fillId="0" borderId="0" xfId="0" applyAlignment="1">
      <alignment horizontal="left"/>
    </xf>
    <xf numFmtId="166" fontId="0" fillId="0" borderId="0" xfId="0" applyNumberFormat="1"/>
    <xf numFmtId="166" fontId="2" fillId="3" borderId="3" xfId="0" applyNumberFormat="1" applyFont="1" applyFill="1" applyBorder="1" applyAlignment="1">
      <alignment horizontal="center" vertical="center" wrapText="1"/>
    </xf>
    <xf numFmtId="166" fontId="3" fillId="0" borderId="22" xfId="0" applyNumberFormat="1" applyFont="1" applyBorder="1" applyAlignment="1">
      <alignment wrapText="1"/>
    </xf>
    <xf numFmtId="166" fontId="3" fillId="0" borderId="18" xfId="0" applyNumberFormat="1" applyFont="1" applyBorder="1" applyAlignment="1">
      <alignment wrapText="1"/>
    </xf>
    <xf numFmtId="166" fontId="3" fillId="0" borderId="16" xfId="0" applyNumberFormat="1" applyFont="1" applyBorder="1" applyAlignment="1">
      <alignment wrapText="1"/>
    </xf>
    <xf numFmtId="166" fontId="3" fillId="0" borderId="17" xfId="0" applyNumberFormat="1" applyFont="1" applyBorder="1"/>
    <xf numFmtId="166" fontId="0" fillId="0" borderId="0" xfId="0" applyNumberFormat="1" applyBorder="1" applyAlignment="1"/>
    <xf numFmtId="0" fontId="2" fillId="0" borderId="1" xfId="0" applyFont="1" applyBorder="1" applyAlignment="1">
      <alignment horizontal="left" wrapText="1"/>
    </xf>
    <xf numFmtId="0" fontId="2" fillId="0" borderId="16" xfId="0" applyFont="1" applyBorder="1" applyAlignment="1">
      <alignment wrapText="1"/>
    </xf>
    <xf numFmtId="0" fontId="2" fillId="3" borderId="4" xfId="0" applyFont="1" applyFill="1" applyBorder="1" applyAlignment="1">
      <alignment horizontal="left" vertical="center" wrapText="1"/>
    </xf>
    <xf numFmtId="0" fontId="0" fillId="0" borderId="0" xfId="0" applyBorder="1"/>
    <xf numFmtId="166" fontId="7" fillId="0" borderId="0" xfId="0" applyNumberFormat="1" applyFont="1" applyBorder="1" applyAlignment="1">
      <alignment wrapText="1"/>
    </xf>
    <xf numFmtId="0" fontId="0" fillId="0" borderId="18" xfId="0" applyFont="1" applyBorder="1" applyAlignment="1">
      <alignment horizontal="right" wrapText="1"/>
    </xf>
    <xf numFmtId="0" fontId="0" fillId="0" borderId="16" xfId="0" applyFont="1" applyBorder="1" applyAlignment="1">
      <alignment horizontal="right" wrapText="1"/>
    </xf>
    <xf numFmtId="0" fontId="0" fillId="0" borderId="22" xfId="0" applyFont="1" applyBorder="1" applyAlignment="1">
      <alignment wrapText="1"/>
    </xf>
    <xf numFmtId="0" fontId="0" fillId="0" borderId="22" xfId="0" applyFont="1" applyBorder="1"/>
    <xf numFmtId="0" fontId="0" fillId="0" borderId="16" xfId="0" applyFont="1" applyBorder="1"/>
    <xf numFmtId="0" fontId="2" fillId="4" borderId="3" xfId="0" applyFont="1" applyFill="1" applyBorder="1" applyAlignment="1">
      <alignment horizontal="justify" vertical="top" wrapText="1"/>
    </xf>
    <xf numFmtId="0" fontId="2" fillId="4" borderId="1" xfId="0" applyFont="1" applyFill="1" applyBorder="1" applyAlignment="1">
      <alignment horizontal="justify" vertical="top" wrapText="1"/>
    </xf>
    <xf numFmtId="0" fontId="2" fillId="3" borderId="1" xfId="0" applyFont="1" applyFill="1" applyBorder="1" applyAlignment="1">
      <alignment horizontal="justify" vertical="top" wrapText="1"/>
    </xf>
    <xf numFmtId="0" fontId="2" fillId="3" borderId="3" xfId="0" applyFont="1" applyFill="1" applyBorder="1" applyAlignment="1">
      <alignment horizontal="justify" vertical="top" wrapText="1"/>
    </xf>
    <xf numFmtId="0" fontId="9" fillId="0" borderId="0" xfId="0" applyFont="1"/>
    <xf numFmtId="0" fontId="7" fillId="0" borderId="0" xfId="0" applyFont="1"/>
    <xf numFmtId="0" fontId="0" fillId="0" borderId="0" xfId="0" applyFont="1"/>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Fill="1"/>
    <xf numFmtId="0" fontId="0" fillId="0" borderId="0" xfId="0" applyFill="1"/>
    <xf numFmtId="0" fontId="0" fillId="0" borderId="0" xfId="0" applyFill="1" applyAlignment="1">
      <alignment horizontal="center"/>
    </xf>
    <xf numFmtId="2" fontId="0" fillId="0" borderId="0" xfId="0" applyNumberFormat="1" applyFont="1" applyFill="1" applyAlignment="1">
      <alignment horizontal="center" vertical="center" wrapText="1"/>
    </xf>
    <xf numFmtId="3" fontId="0" fillId="0" borderId="0" xfId="0" applyNumberFormat="1" applyFill="1" applyAlignment="1">
      <alignment horizontal="center"/>
    </xf>
    <xf numFmtId="3" fontId="0" fillId="0" borderId="0" xfId="0" applyNumberFormat="1" applyFill="1"/>
    <xf numFmtId="9" fontId="12" fillId="0" borderId="0" xfId="2" applyFont="1" applyFill="1" applyAlignment="1">
      <alignment horizontal="center" vertical="center" wrapText="1"/>
    </xf>
    <xf numFmtId="167" fontId="0" fillId="0" borderId="0" xfId="1" applyNumberFormat="1" applyFont="1" applyFill="1" applyAlignment="1">
      <alignment horizontal="center"/>
    </xf>
    <xf numFmtId="3" fontId="0" fillId="0" borderId="0" xfId="0" applyNumberFormat="1"/>
    <xf numFmtId="0" fontId="0" fillId="0" borderId="0" xfId="0" applyAlignment="1">
      <alignment horizontal="center"/>
    </xf>
    <xf numFmtId="167" fontId="12" fillId="5" borderId="24" xfId="1" applyNumberFormat="1" applyFont="1" applyFill="1" applyBorder="1"/>
    <xf numFmtId="3" fontId="12" fillId="0" borderId="24" xfId="0" applyNumberFormat="1" applyFont="1" applyBorder="1"/>
    <xf numFmtId="3" fontId="2" fillId="0" borderId="0" xfId="0" applyNumberFormat="1" applyFont="1"/>
    <xf numFmtId="0" fontId="9" fillId="0" borderId="0" xfId="0" applyFont="1" applyAlignment="1">
      <alignment horizontal="left"/>
    </xf>
    <xf numFmtId="165" fontId="9" fillId="0" borderId="0" xfId="0" applyNumberFormat="1" applyFont="1" applyAlignment="1">
      <alignment horizontal="center"/>
    </xf>
    <xf numFmtId="0" fontId="0" fillId="0" borderId="16" xfId="0" quotePrefix="1" applyFont="1" applyBorder="1" applyAlignment="1"/>
    <xf numFmtId="0" fontId="16" fillId="0" borderId="0" xfId="0" applyFont="1"/>
    <xf numFmtId="3" fontId="2" fillId="0" borderId="0" xfId="0" applyNumberFormat="1" applyFont="1" applyFill="1"/>
    <xf numFmtId="0" fontId="17" fillId="0" borderId="0" xfId="0" applyFont="1"/>
    <xf numFmtId="0" fontId="0" fillId="0" borderId="0" xfId="0" applyFill="1" applyBorder="1"/>
    <xf numFmtId="0" fontId="13"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16" xfId="0" applyBorder="1" applyAlignment="1">
      <alignment wrapText="1"/>
    </xf>
    <xf numFmtId="165" fontId="9" fillId="0" borderId="0" xfId="0" applyNumberFormat="1" applyFont="1"/>
    <xf numFmtId="0" fontId="0" fillId="0" borderId="18" xfId="0" applyBorder="1" applyAlignment="1">
      <alignment wrapText="1"/>
    </xf>
    <xf numFmtId="3" fontId="0" fillId="0" borderId="0" xfId="0" applyNumberFormat="1" applyFont="1"/>
    <xf numFmtId="3" fontId="2" fillId="0" borderId="24" xfId="0" applyNumberFormat="1" applyFont="1" applyBorder="1"/>
    <xf numFmtId="0" fontId="8" fillId="0" borderId="0" xfId="0" applyFont="1" applyFill="1"/>
    <xf numFmtId="0" fontId="5" fillId="0" borderId="0" xfId="0" applyFont="1" applyAlignment="1">
      <alignment horizontal="center"/>
    </xf>
    <xf numFmtId="0" fontId="9" fillId="0" borderId="0" xfId="0" applyFont="1" applyAlignment="1">
      <alignment horizontal="center"/>
    </xf>
    <xf numFmtId="0" fontId="19" fillId="0" borderId="0" xfId="0" applyFont="1"/>
    <xf numFmtId="0" fontId="20" fillId="0" borderId="0" xfId="0" applyFont="1"/>
    <xf numFmtId="0" fontId="21" fillId="0" borderId="0" xfId="0" applyFont="1" applyAlignment="1">
      <alignment horizontal="center"/>
    </xf>
    <xf numFmtId="0" fontId="21" fillId="0" borderId="0" xfId="0" applyFont="1"/>
    <xf numFmtId="0" fontId="22" fillId="0" borderId="0" xfId="0" applyFont="1" applyFill="1"/>
    <xf numFmtId="4" fontId="21" fillId="0" borderId="0" xfId="0" applyNumberFormat="1" applyFont="1" applyAlignment="1">
      <alignment horizontal="center"/>
    </xf>
    <xf numFmtId="3" fontId="21" fillId="0" borderId="0" xfId="0" applyNumberFormat="1" applyFont="1"/>
    <xf numFmtId="0" fontId="15" fillId="0" borderId="0" xfId="0" applyFont="1" applyAlignment="1">
      <alignment horizontal="left" indent="1"/>
    </xf>
    <xf numFmtId="0" fontId="23" fillId="6" borderId="0" xfId="0" applyFont="1" applyFill="1" applyBorder="1" applyAlignment="1">
      <alignment horizontal="left" vertical="center"/>
    </xf>
    <xf numFmtId="0" fontId="23" fillId="6" borderId="0" xfId="0" applyFont="1" applyFill="1" applyBorder="1" applyAlignment="1">
      <alignment horizontal="center" vertical="center"/>
    </xf>
    <xf numFmtId="0" fontId="23" fillId="6" borderId="0" xfId="0" applyFont="1" applyFill="1" applyBorder="1" applyAlignment="1">
      <alignment horizontal="center" vertical="center" wrapText="1"/>
    </xf>
    <xf numFmtId="0" fontId="24" fillId="0" borderId="0" xfId="0" applyFont="1" applyFill="1" applyBorder="1" applyAlignment="1">
      <alignment horizontal="center" vertical="center"/>
    </xf>
    <xf numFmtId="4" fontId="23" fillId="6" borderId="0" xfId="0" applyNumberFormat="1" applyFont="1" applyFill="1" applyBorder="1" applyAlignment="1">
      <alignment horizontal="center" vertical="center" wrapText="1"/>
    </xf>
    <xf numFmtId="3" fontId="23" fillId="6" borderId="0" xfId="0" applyNumberFormat="1" applyFont="1" applyFill="1" applyBorder="1" applyAlignment="1">
      <alignment horizontal="center" vertical="center" wrapText="1"/>
    </xf>
    <xf numFmtId="0" fontId="12" fillId="0" borderId="0" xfId="0" applyFont="1" applyAlignment="1">
      <alignment horizontal="left" vertical="center" indent="1"/>
    </xf>
    <xf numFmtId="0" fontId="25"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15" fillId="0" borderId="0" xfId="0" applyFont="1" applyFill="1" applyAlignment="1">
      <alignment horizontal="center"/>
    </xf>
    <xf numFmtId="3" fontId="15" fillId="0" borderId="0" xfId="0" applyNumberFormat="1" applyFont="1" applyFill="1"/>
    <xf numFmtId="3" fontId="26" fillId="0" borderId="0" xfId="0" applyNumberFormat="1" applyFont="1" applyFill="1"/>
    <xf numFmtId="4" fontId="15" fillId="0" borderId="0" xfId="0" applyNumberFormat="1" applyFont="1" applyFill="1" applyAlignment="1">
      <alignment horizontal="center" vertical="center" wrapText="1"/>
    </xf>
    <xf numFmtId="0" fontId="15" fillId="0" borderId="0" xfId="0" applyFont="1" applyFill="1"/>
    <xf numFmtId="0" fontId="15" fillId="0" borderId="0" xfId="0" applyFont="1" applyFill="1" applyAlignment="1">
      <alignment horizontal="left" indent="1"/>
    </xf>
    <xf numFmtId="3" fontId="15" fillId="0" borderId="0" xfId="0" applyNumberFormat="1" applyFont="1"/>
    <xf numFmtId="3" fontId="12" fillId="0" borderId="0" xfId="0" applyNumberFormat="1" applyFont="1"/>
    <xf numFmtId="3" fontId="24" fillId="0" borderId="0" xfId="0" applyNumberFormat="1" applyFont="1" applyFill="1"/>
    <xf numFmtId="4" fontId="15" fillId="0" borderId="0" xfId="2" applyNumberFormat="1" applyFont="1" applyFill="1" applyAlignment="1">
      <alignment horizontal="center" vertical="center" wrapText="1"/>
    </xf>
    <xf numFmtId="0" fontId="12" fillId="0" borderId="0" xfId="0" applyFont="1"/>
    <xf numFmtId="0" fontId="15" fillId="0" borderId="0" xfId="0" applyFont="1"/>
    <xf numFmtId="0" fontId="15" fillId="0" borderId="0" xfId="0" applyFont="1" applyAlignment="1">
      <alignment horizontal="center"/>
    </xf>
    <xf numFmtId="3" fontId="12" fillId="0" borderId="0" xfId="0" applyNumberFormat="1" applyFont="1" applyFill="1"/>
    <xf numFmtId="0" fontId="12" fillId="0" borderId="0" xfId="0" applyFont="1" applyFill="1" applyAlignment="1">
      <alignment horizontal="center"/>
    </xf>
    <xf numFmtId="4" fontId="12" fillId="0" borderId="0" xfId="2" applyNumberFormat="1" applyFont="1" applyFill="1" applyAlignment="1">
      <alignment horizontal="center" vertical="center" wrapText="1"/>
    </xf>
    <xf numFmtId="3" fontId="12" fillId="0" borderId="32" xfId="0" applyNumberFormat="1" applyFont="1" applyBorder="1"/>
    <xf numFmtId="0" fontId="12" fillId="0" borderId="0" xfId="0" applyFont="1" applyAlignment="1">
      <alignment horizontal="left" indent="1"/>
    </xf>
    <xf numFmtId="0" fontId="27" fillId="0" borderId="0" xfId="0" applyFont="1"/>
    <xf numFmtId="3" fontId="12" fillId="0" borderId="0" xfId="0" applyNumberFormat="1" applyFont="1" applyBorder="1"/>
    <xf numFmtId="0" fontId="15" fillId="0" borderId="0" xfId="0" applyFont="1" applyFill="1" applyBorder="1"/>
    <xf numFmtId="0" fontId="15" fillId="0" borderId="0" xfId="0" applyFont="1" applyFill="1" applyBorder="1" applyAlignment="1">
      <alignment horizontal="center"/>
    </xf>
    <xf numFmtId="3" fontId="12" fillId="0" borderId="0" xfId="0" applyNumberFormat="1" applyFont="1" applyFill="1" applyBorder="1"/>
    <xf numFmtId="3" fontId="24" fillId="0" borderId="0" xfId="0" applyNumberFormat="1" applyFont="1" applyFill="1" applyBorder="1"/>
    <xf numFmtId="4" fontId="15" fillId="0" borderId="0" xfId="0" applyNumberFormat="1" applyFont="1" applyFill="1" applyBorder="1" applyAlignment="1">
      <alignment horizontal="center"/>
    </xf>
    <xf numFmtId="3" fontId="15" fillId="0" borderId="0" xfId="0" applyNumberFormat="1" applyFont="1" applyFill="1" applyBorder="1"/>
    <xf numFmtId="0" fontId="15" fillId="0" borderId="0" xfId="0" applyFont="1" applyFill="1" applyBorder="1" applyAlignment="1">
      <alignment horizontal="left" indent="1"/>
    </xf>
    <xf numFmtId="0" fontId="12" fillId="0" borderId="0" xfId="0" applyFont="1" applyAlignment="1">
      <alignment horizontal="center"/>
    </xf>
    <xf numFmtId="0" fontId="24" fillId="0" borderId="0" xfId="0" applyFont="1" applyFill="1"/>
    <xf numFmtId="4" fontId="12" fillId="0" borderId="0" xfId="0" applyNumberFormat="1" applyFont="1" applyAlignment="1">
      <alignment horizontal="center"/>
    </xf>
    <xf numFmtId="3" fontId="12" fillId="5" borderId="33" xfId="0" applyNumberFormat="1" applyFont="1" applyFill="1" applyBorder="1"/>
    <xf numFmtId="0" fontId="26" fillId="0" borderId="0" xfId="0" applyFont="1" applyFill="1"/>
    <xf numFmtId="4" fontId="15" fillId="0" borderId="0" xfId="0" applyNumberFormat="1" applyFont="1" applyAlignment="1">
      <alignment horizontal="center"/>
    </xf>
    <xf numFmtId="3" fontId="26" fillId="7" borderId="0" xfId="0" applyNumberFormat="1" applyFont="1" applyFill="1"/>
    <xf numFmtId="166" fontId="8" fillId="7" borderId="26" xfId="0" applyNumberFormat="1" applyFont="1" applyFill="1" applyBorder="1" applyAlignment="1">
      <alignment wrapText="1"/>
    </xf>
    <xf numFmtId="3" fontId="15" fillId="7" borderId="0" xfId="0" applyNumberFormat="1" applyFont="1" applyFill="1"/>
    <xf numFmtId="3" fontId="15" fillId="8" borderId="0" xfId="0" applyNumberFormat="1" applyFont="1" applyFill="1" applyBorder="1"/>
    <xf numFmtId="0" fontId="0" fillId="0" borderId="16" xfId="0" applyFont="1" applyBorder="1" applyAlignment="1">
      <alignment wrapText="1"/>
    </xf>
    <xf numFmtId="0" fontId="28" fillId="0" borderId="0" xfId="0" applyFont="1" applyFill="1" applyAlignment="1">
      <alignment horizontal="center"/>
    </xf>
    <xf numFmtId="3" fontId="28" fillId="0" borderId="0" xfId="0" applyNumberFormat="1" applyFont="1"/>
    <xf numFmtId="0" fontId="26" fillId="0" borderId="0" xfId="0" applyFont="1" applyFill="1" applyAlignment="1">
      <alignment horizontal="center"/>
    </xf>
    <xf numFmtId="166" fontId="0" fillId="0" borderId="13" xfId="0" applyNumberFormat="1" applyFill="1" applyBorder="1" applyAlignment="1">
      <alignment horizontal="left" wrapText="1"/>
    </xf>
    <xf numFmtId="166" fontId="0" fillId="0" borderId="23" xfId="0" applyNumberFormat="1" applyFill="1" applyBorder="1" applyAlignment="1">
      <alignment wrapText="1"/>
    </xf>
    <xf numFmtId="166" fontId="8" fillId="7" borderId="23" xfId="0" applyNumberFormat="1" applyFont="1" applyFill="1" applyBorder="1" applyAlignment="1">
      <alignment wrapText="1"/>
    </xf>
    <xf numFmtId="166" fontId="8" fillId="0" borderId="23" xfId="0" applyNumberFormat="1" applyFont="1" applyFill="1" applyBorder="1" applyAlignment="1">
      <alignment wrapText="1"/>
    </xf>
    <xf numFmtId="166" fontId="8" fillId="5" borderId="23" xfId="0" applyNumberFormat="1" applyFont="1" applyFill="1" applyBorder="1" applyAlignment="1">
      <alignment wrapText="1"/>
    </xf>
    <xf numFmtId="166" fontId="8" fillId="8" borderId="23" xfId="0" applyNumberFormat="1" applyFont="1" applyFill="1" applyBorder="1" applyAlignment="1">
      <alignment wrapText="1"/>
    </xf>
    <xf numFmtId="0" fontId="29" fillId="0" borderId="0" xfId="0" applyFont="1" applyAlignment="1">
      <alignment horizontal="center" vertical="center" wrapText="1"/>
    </xf>
    <xf numFmtId="165" fontId="2" fillId="0" borderId="17" xfId="0" applyNumberFormat="1" applyFont="1" applyFill="1" applyBorder="1" applyAlignment="1">
      <alignment horizontal="right"/>
    </xf>
    <xf numFmtId="3" fontId="12" fillId="0" borderId="32" xfId="0" applyNumberFormat="1" applyFont="1" applyFill="1" applyBorder="1"/>
    <xf numFmtId="3" fontId="6" fillId="7" borderId="34" xfId="0" applyNumberFormat="1" applyFont="1" applyFill="1" applyBorder="1" applyAlignment="1">
      <alignment horizontal="right" wrapText="1"/>
    </xf>
    <xf numFmtId="3" fontId="6" fillId="7" borderId="18" xfId="0" applyNumberFormat="1" applyFont="1" applyFill="1" applyBorder="1" applyAlignment="1">
      <alignment horizontal="right" wrapText="1"/>
    </xf>
    <xf numFmtId="0" fontId="0" fillId="0" borderId="16" xfId="0" applyFont="1" applyBorder="1" applyAlignment="1">
      <alignment wrapText="1"/>
    </xf>
    <xf numFmtId="167" fontId="15" fillId="0" borderId="0" xfId="1" applyNumberFormat="1" applyFont="1" applyFill="1" applyAlignment="1">
      <alignment horizontal="center"/>
    </xf>
    <xf numFmtId="0" fontId="0" fillId="0" borderId="16" xfId="0" applyBorder="1" applyAlignment="1">
      <alignment wrapText="1"/>
    </xf>
    <xf numFmtId="3" fontId="12" fillId="10" borderId="0" xfId="0" applyNumberFormat="1" applyFont="1" applyFill="1"/>
    <xf numFmtId="3" fontId="0" fillId="7" borderId="0" xfId="0" applyNumberFormat="1" applyFill="1"/>
    <xf numFmtId="3" fontId="12" fillId="9" borderId="0" xfId="0" applyNumberFormat="1" applyFont="1" applyFill="1"/>
    <xf numFmtId="0" fontId="0" fillId="0" borderId="0" xfId="0" applyBorder="1" applyAlignment="1"/>
    <xf numFmtId="167" fontId="15" fillId="0" borderId="0" xfId="1" applyNumberFormat="1" applyFont="1"/>
    <xf numFmtId="4" fontId="26" fillId="0" borderId="0" xfId="2" applyNumberFormat="1" applyFont="1" applyFill="1" applyAlignment="1">
      <alignment horizontal="center" vertical="center" wrapText="1"/>
    </xf>
    <xf numFmtId="165" fontId="7" fillId="0" borderId="0" xfId="0" applyNumberFormat="1" applyFont="1"/>
    <xf numFmtId="166" fontId="8" fillId="9" borderId="23" xfId="0" applyNumberFormat="1" applyFont="1" applyFill="1" applyBorder="1" applyAlignment="1">
      <alignment wrapText="1"/>
    </xf>
    <xf numFmtId="166" fontId="8" fillId="11" borderId="23" xfId="0" applyNumberFormat="1" applyFont="1" applyFill="1" applyBorder="1" applyAlignment="1">
      <alignment wrapText="1"/>
    </xf>
    <xf numFmtId="3" fontId="15" fillId="11" borderId="0" xfId="0" applyNumberFormat="1" applyFont="1" applyFill="1" applyBorder="1"/>
    <xf numFmtId="166" fontId="8" fillId="12" borderId="23" xfId="0" applyNumberFormat="1" applyFont="1" applyFill="1" applyBorder="1" applyAlignment="1">
      <alignment wrapText="1"/>
    </xf>
    <xf numFmtId="3" fontId="15" fillId="12" borderId="0" xfId="0" applyNumberFormat="1" applyFont="1" applyFill="1" applyBorder="1"/>
    <xf numFmtId="0" fontId="26" fillId="0" borderId="0" xfId="0" applyFont="1"/>
    <xf numFmtId="0" fontId="26" fillId="0" borderId="0" xfId="0" applyFont="1" applyAlignment="1">
      <alignment horizontal="center"/>
    </xf>
    <xf numFmtId="3" fontId="30" fillId="13" borderId="0" xfId="0" applyNumberFormat="1" applyFont="1" applyFill="1" applyAlignment="1">
      <alignment horizontal="center"/>
    </xf>
    <xf numFmtId="0" fontId="8" fillId="0" borderId="16" xfId="0" quotePrefix="1" applyFont="1" applyBorder="1" applyAlignment="1">
      <alignment wrapText="1"/>
    </xf>
    <xf numFmtId="0" fontId="14" fillId="0" borderId="0" xfId="5"/>
    <xf numFmtId="0" fontId="31" fillId="0" borderId="3" xfId="5" applyFont="1" applyBorder="1" applyAlignment="1">
      <alignment vertical="center" wrapText="1"/>
    </xf>
    <xf numFmtId="0" fontId="31" fillId="0" borderId="2" xfId="5" applyFont="1" applyBorder="1" applyAlignment="1">
      <alignment vertical="center" wrapText="1"/>
    </xf>
    <xf numFmtId="0" fontId="33" fillId="14" borderId="6" xfId="5" applyFont="1" applyFill="1" applyBorder="1" applyAlignment="1">
      <alignment vertical="center" wrapText="1"/>
    </xf>
    <xf numFmtId="0" fontId="34" fillId="0" borderId="15" xfId="5" applyFont="1" applyBorder="1" applyAlignment="1">
      <alignment vertical="center" wrapText="1"/>
    </xf>
    <xf numFmtId="3" fontId="34" fillId="0" borderId="15" xfId="5" applyNumberFormat="1" applyFont="1" applyBorder="1" applyAlignment="1">
      <alignment vertical="center" wrapText="1"/>
    </xf>
    <xf numFmtId="0" fontId="35" fillId="0" borderId="15" xfId="5" applyFont="1" applyBorder="1" applyAlignment="1">
      <alignment vertical="center" wrapText="1"/>
    </xf>
    <xf numFmtId="3" fontId="35" fillId="0" borderId="15" xfId="5" applyNumberFormat="1" applyFont="1" applyBorder="1" applyAlignment="1">
      <alignment vertical="center" wrapText="1"/>
    </xf>
    <xf numFmtId="0" fontId="33" fillId="15" borderId="6" xfId="5" applyFont="1" applyFill="1" applyBorder="1" applyAlignment="1">
      <alignment vertical="center" wrapText="1"/>
    </xf>
    <xf numFmtId="0" fontId="33" fillId="16" borderId="6" xfId="5" applyFont="1" applyFill="1" applyBorder="1" applyAlignment="1">
      <alignment vertical="center" wrapText="1"/>
    </xf>
    <xf numFmtId="0" fontId="34" fillId="0" borderId="11" xfId="5" applyFont="1" applyBorder="1" applyAlignment="1">
      <alignment vertical="center" wrapText="1"/>
    </xf>
    <xf numFmtId="0" fontId="33" fillId="17" borderId="6" xfId="5" applyFont="1" applyFill="1" applyBorder="1" applyAlignment="1">
      <alignment vertical="center" wrapText="1"/>
    </xf>
    <xf numFmtId="0" fontId="36" fillId="0" borderId="15" xfId="5" applyFont="1" applyBorder="1" applyAlignment="1">
      <alignment vertical="center" wrapText="1"/>
    </xf>
    <xf numFmtId="3" fontId="36" fillId="0" borderId="15" xfId="5" applyNumberFormat="1" applyFont="1" applyBorder="1" applyAlignment="1">
      <alignment vertical="center" wrapText="1"/>
    </xf>
    <xf numFmtId="0" fontId="33" fillId="18" borderId="6" xfId="5" applyFont="1" applyFill="1" applyBorder="1" applyAlignment="1">
      <alignment vertical="center" wrapText="1"/>
    </xf>
    <xf numFmtId="0" fontId="37" fillId="0" borderId="15" xfId="5" applyFont="1" applyBorder="1" applyAlignment="1">
      <alignment vertical="center" wrapText="1"/>
    </xf>
    <xf numFmtId="0" fontId="33" fillId="19" borderId="6" xfId="5" applyFont="1" applyFill="1" applyBorder="1" applyAlignment="1">
      <alignment vertical="center" wrapText="1"/>
    </xf>
    <xf numFmtId="0" fontId="35" fillId="0" borderId="6" xfId="5" applyFont="1" applyBorder="1" applyAlignment="1">
      <alignment vertical="center" wrapText="1"/>
    </xf>
    <xf numFmtId="0" fontId="34" fillId="0" borderId="15" xfId="5" applyFont="1" applyBorder="1" applyAlignment="1">
      <alignment horizontal="right" vertical="center" wrapText="1"/>
    </xf>
    <xf numFmtId="6" fontId="34" fillId="0" borderId="15" xfId="5" applyNumberFormat="1" applyFont="1" applyBorder="1" applyAlignment="1">
      <alignment horizontal="right" vertical="center" wrapText="1"/>
    </xf>
    <xf numFmtId="0" fontId="35" fillId="0" borderId="5" xfId="5" applyFont="1" applyBorder="1" applyAlignment="1">
      <alignment vertical="center" wrapText="1"/>
    </xf>
    <xf numFmtId="0" fontId="35" fillId="0" borderId="11" xfId="5" applyFont="1" applyBorder="1" applyAlignment="1">
      <alignment vertical="center" wrapText="1"/>
    </xf>
    <xf numFmtId="0" fontId="35" fillId="0" borderId="11" xfId="5" applyFont="1" applyBorder="1" applyAlignment="1">
      <alignment horizontal="right" vertical="center" wrapText="1"/>
    </xf>
    <xf numFmtId="6" fontId="35" fillId="0" borderId="11" xfId="5" applyNumberFormat="1" applyFont="1" applyBorder="1" applyAlignment="1">
      <alignment horizontal="right" vertical="center" wrapText="1"/>
    </xf>
    <xf numFmtId="0" fontId="14" fillId="0" borderId="5" xfId="5" applyBorder="1" applyAlignment="1">
      <alignment vertical="top" wrapText="1"/>
    </xf>
    <xf numFmtId="0" fontId="14" fillId="0" borderId="11" xfId="5" applyBorder="1" applyAlignment="1">
      <alignment vertical="top" wrapText="1"/>
    </xf>
    <xf numFmtId="0" fontId="14" fillId="0" borderId="6" xfId="5" applyBorder="1" applyAlignment="1">
      <alignment vertical="top" wrapText="1"/>
    </xf>
    <xf numFmtId="0" fontId="14" fillId="0" borderId="15" xfId="5" applyBorder="1" applyAlignment="1">
      <alignment vertical="top" wrapText="1"/>
    </xf>
    <xf numFmtId="0" fontId="8" fillId="0" borderId="0" xfId="5" applyFont="1"/>
    <xf numFmtId="167" fontId="1" fillId="0" borderId="0" xfId="15" applyNumberFormat="1" applyFont="1"/>
    <xf numFmtId="167" fontId="1" fillId="0" borderId="0" xfId="15" applyNumberFormat="1" applyFont="1" applyAlignment="1">
      <alignment horizontal="center"/>
    </xf>
    <xf numFmtId="0" fontId="6" fillId="0" borderId="0" xfId="5" applyFont="1"/>
    <xf numFmtId="0" fontId="38" fillId="0" borderId="0" xfId="5" applyFont="1"/>
    <xf numFmtId="0" fontId="0" fillId="0" borderId="26" xfId="0" applyFill="1" applyBorder="1" applyAlignment="1"/>
    <xf numFmtId="0" fontId="8" fillId="0" borderId="0" xfId="5" applyFont="1" applyFill="1"/>
    <xf numFmtId="167" fontId="1" fillId="0" borderId="0" xfId="15" applyNumberFormat="1" applyFont="1" applyFill="1"/>
    <xf numFmtId="167" fontId="1" fillId="0" borderId="0" xfId="15" applyNumberFormat="1" applyFont="1" applyFill="1" applyAlignment="1">
      <alignment horizontal="right"/>
    </xf>
    <xf numFmtId="3" fontId="8" fillId="0" borderId="0" xfId="5" applyNumberFormat="1" applyFont="1" applyAlignment="1">
      <alignment horizontal="right"/>
    </xf>
    <xf numFmtId="3" fontId="8" fillId="0" borderId="30" xfId="5" applyNumberFormat="1" applyFont="1" applyBorder="1" applyAlignment="1">
      <alignment horizontal="right"/>
    </xf>
    <xf numFmtId="0" fontId="0" fillId="0" borderId="0" xfId="0" applyFill="1" applyBorder="1" applyAlignment="1">
      <alignment horizontal="center"/>
    </xf>
    <xf numFmtId="167" fontId="1" fillId="0" borderId="0" xfId="15" applyNumberFormat="1" applyFont="1" applyFill="1" applyBorder="1"/>
    <xf numFmtId="0" fontId="8" fillId="0" borderId="0" xfId="5" applyFont="1" applyFill="1" applyBorder="1"/>
    <xf numFmtId="167" fontId="2" fillId="0" borderId="0" xfId="15" applyNumberFormat="1" applyFont="1" applyFill="1" applyBorder="1"/>
    <xf numFmtId="167" fontId="1" fillId="0" borderId="0" xfId="15" applyNumberFormat="1" applyFont="1" applyAlignment="1">
      <alignment horizontal="right"/>
    </xf>
    <xf numFmtId="167" fontId="1" fillId="0" borderId="30" xfId="15" applyNumberFormat="1" applyFont="1" applyBorder="1" applyAlignment="1">
      <alignment horizontal="right"/>
    </xf>
    <xf numFmtId="167" fontId="1" fillId="0" borderId="30" xfId="15" applyNumberFormat="1" applyFont="1" applyFill="1" applyBorder="1" applyAlignment="1">
      <alignment horizontal="right"/>
    </xf>
    <xf numFmtId="0" fontId="8" fillId="0" borderId="0" xfId="5" applyFont="1" applyAlignment="1">
      <alignment horizontal="right"/>
    </xf>
    <xf numFmtId="0" fontId="8" fillId="0" borderId="0" xfId="5" applyFont="1" applyFill="1" applyAlignment="1">
      <alignment horizontal="right"/>
    </xf>
    <xf numFmtId="167" fontId="2" fillId="0" borderId="0" xfId="15" applyNumberFormat="1" applyFont="1" applyAlignment="1">
      <alignment horizontal="right"/>
    </xf>
    <xf numFmtId="167" fontId="2" fillId="0" borderId="30" xfId="15" applyNumberFormat="1" applyFont="1" applyBorder="1" applyAlignment="1">
      <alignment horizontal="right"/>
    </xf>
    <xf numFmtId="167" fontId="2" fillId="0" borderId="0" xfId="15" applyNumberFormat="1" applyFont="1" applyFill="1" applyAlignment="1">
      <alignment horizontal="right"/>
    </xf>
    <xf numFmtId="167" fontId="2" fillId="0" borderId="33" xfId="15" applyNumberFormat="1" applyFont="1" applyBorder="1" applyAlignment="1">
      <alignment horizontal="right"/>
    </xf>
    <xf numFmtId="167" fontId="2" fillId="0" borderId="0" xfId="15" applyNumberFormat="1" applyFont="1" applyBorder="1" applyAlignment="1">
      <alignment horizontal="right"/>
    </xf>
    <xf numFmtId="3" fontId="12" fillId="13" borderId="0" xfId="0" applyNumberFormat="1" applyFont="1" applyFill="1"/>
    <xf numFmtId="0" fontId="13" fillId="0" borderId="0" xfId="5" applyFont="1"/>
    <xf numFmtId="0" fontId="40" fillId="5" borderId="0" xfId="5" applyFont="1" applyFill="1"/>
    <xf numFmtId="0" fontId="8" fillId="0" borderId="16" xfId="0" applyFont="1" applyBorder="1" applyAlignment="1">
      <alignment wrapText="1"/>
    </xf>
    <xf numFmtId="166" fontId="8" fillId="9" borderId="16" xfId="0" applyNumberFormat="1" applyFont="1" applyFill="1" applyBorder="1" applyAlignment="1">
      <alignment wrapText="1"/>
    </xf>
    <xf numFmtId="3" fontId="12" fillId="20" borderId="0" xfId="0" applyNumberFormat="1" applyFont="1" applyFill="1"/>
    <xf numFmtId="167" fontId="1" fillId="0" borderId="0" xfId="15" applyNumberFormat="1" applyFont="1" applyBorder="1" applyAlignment="1">
      <alignment horizontal="right"/>
    </xf>
    <xf numFmtId="0" fontId="41" fillId="0" borderId="0" xfId="5" applyFont="1"/>
    <xf numFmtId="0" fontId="41" fillId="0" borderId="0" xfId="5" applyFont="1" applyFill="1"/>
    <xf numFmtId="3" fontId="28" fillId="0" borderId="0" xfId="0" applyNumberFormat="1" applyFont="1" applyBorder="1"/>
    <xf numFmtId="167" fontId="15" fillId="0" borderId="0" xfId="0" applyNumberFormat="1" applyFont="1" applyBorder="1"/>
    <xf numFmtId="3" fontId="15" fillId="0" borderId="0" xfId="0" applyNumberFormat="1" applyFont="1" applyBorder="1"/>
    <xf numFmtId="0" fontId="42" fillId="0" borderId="0" xfId="0" applyFont="1"/>
    <xf numFmtId="0" fontId="43" fillId="0" borderId="0" xfId="5" applyFont="1"/>
    <xf numFmtId="0" fontId="44" fillId="0" borderId="0" xfId="5" applyFont="1"/>
    <xf numFmtId="3" fontId="12" fillId="21" borderId="0" xfId="0" applyNumberFormat="1" applyFont="1" applyFill="1"/>
    <xf numFmtId="166" fontId="8" fillId="21" borderId="16" xfId="0" applyNumberFormat="1" applyFont="1" applyFill="1" applyBorder="1" applyAlignment="1">
      <alignment wrapText="1"/>
    </xf>
    <xf numFmtId="4" fontId="15" fillId="0" borderId="0" xfId="0" applyNumberFormat="1" applyFont="1" applyFill="1" applyAlignment="1">
      <alignment horizontal="center"/>
    </xf>
    <xf numFmtId="167" fontId="2" fillId="7" borderId="0" xfId="15" applyNumberFormat="1" applyFont="1" applyFill="1" applyBorder="1" applyAlignment="1">
      <alignment horizontal="right"/>
    </xf>
    <xf numFmtId="167" fontId="8" fillId="0" borderId="0" xfId="5" applyNumberFormat="1" applyFont="1"/>
    <xf numFmtId="0" fontId="8" fillId="0" borderId="14" xfId="5" applyFont="1" applyBorder="1"/>
    <xf numFmtId="0" fontId="6" fillId="0" borderId="14" xfId="5" applyFont="1" applyBorder="1"/>
    <xf numFmtId="167" fontId="2" fillId="0" borderId="14" xfId="15" applyNumberFormat="1" applyFont="1" applyBorder="1" applyAlignment="1">
      <alignment horizontal="right"/>
    </xf>
    <xf numFmtId="167" fontId="1" fillId="0" borderId="14" xfId="15" applyNumberFormat="1" applyFont="1" applyBorder="1"/>
    <xf numFmtId="167" fontId="1" fillId="0" borderId="14" xfId="15" applyNumberFormat="1" applyFont="1" applyBorder="1" applyAlignment="1">
      <alignment horizontal="right"/>
    </xf>
    <xf numFmtId="167" fontId="12" fillId="5" borderId="0" xfId="1" applyNumberFormat="1" applyFont="1" applyFill="1" applyBorder="1"/>
    <xf numFmtId="3" fontId="2" fillId="0" borderId="0" xfId="0" applyNumberFormat="1" applyFont="1" applyBorder="1"/>
    <xf numFmtId="9" fontId="0" fillId="0" borderId="0" xfId="0" applyNumberFormat="1" applyAlignment="1">
      <alignment horizontal="center"/>
    </xf>
    <xf numFmtId="167" fontId="8" fillId="0" borderId="30" xfId="15" applyNumberFormat="1" applyFont="1" applyBorder="1" applyAlignment="1">
      <alignment horizontal="right"/>
    </xf>
    <xf numFmtId="0" fontId="7" fillId="0" borderId="0" xfId="5" applyFont="1" applyAlignment="1">
      <alignment horizontal="right"/>
    </xf>
    <xf numFmtId="0" fontId="45" fillId="0" borderId="0" xfId="5" applyFont="1"/>
    <xf numFmtId="167" fontId="46" fillId="0" borderId="0" xfId="1" applyNumberFormat="1" applyFont="1"/>
    <xf numFmtId="0" fontId="40" fillId="0" borderId="0" xfId="5" applyFont="1"/>
    <xf numFmtId="0" fontId="49" fillId="0" borderId="0" xfId="0" applyFont="1"/>
    <xf numFmtId="0" fontId="48" fillId="4" borderId="3" xfId="0" applyFont="1" applyFill="1" applyBorder="1" applyAlignment="1">
      <alignment horizontal="justify" vertical="center" wrapText="1"/>
    </xf>
    <xf numFmtId="0" fontId="48" fillId="3" borderId="3" xfId="0" applyFont="1" applyFill="1" applyBorder="1" applyAlignment="1">
      <alignment horizontal="center" vertical="center" wrapText="1"/>
    </xf>
    <xf numFmtId="0" fontId="50" fillId="3" borderId="3" xfId="0" applyFont="1" applyFill="1" applyBorder="1" applyAlignment="1">
      <alignment horizontal="center" vertical="center" wrapText="1"/>
    </xf>
    <xf numFmtId="0" fontId="49" fillId="0" borderId="22" xfId="0" applyFont="1" applyBorder="1"/>
    <xf numFmtId="0" fontId="49" fillId="0" borderId="1" xfId="0" applyFont="1" applyBorder="1" applyAlignment="1">
      <alignment wrapText="1"/>
    </xf>
    <xf numFmtId="0" fontId="49" fillId="0" borderId="16" xfId="0" applyFont="1" applyBorder="1"/>
    <xf numFmtId="0" fontId="49" fillId="0" borderId="16" xfId="0" applyFont="1" applyBorder="1" applyAlignment="1">
      <alignment wrapText="1"/>
    </xf>
    <xf numFmtId="164" fontId="49" fillId="0" borderId="16" xfId="0" applyNumberFormat="1" applyFont="1" applyBorder="1" applyAlignment="1">
      <alignment wrapText="1"/>
    </xf>
    <xf numFmtId="0" fontId="49" fillId="0" borderId="18" xfId="0" applyFont="1" applyBorder="1" applyAlignment="1">
      <alignment wrapText="1"/>
    </xf>
    <xf numFmtId="0" fontId="49" fillId="0" borderId="17" xfId="0" applyFont="1" applyBorder="1"/>
    <xf numFmtId="0" fontId="49" fillId="0" borderId="17" xfId="0" applyFont="1" applyBorder="1" applyAlignment="1">
      <alignment wrapText="1"/>
    </xf>
    <xf numFmtId="0" fontId="48" fillId="3" borderId="4" xfId="0" applyFont="1" applyFill="1" applyBorder="1" applyAlignment="1">
      <alignment horizontal="center" vertical="center" wrapText="1"/>
    </xf>
    <xf numFmtId="0" fontId="49" fillId="0" borderId="22" xfId="0" applyFont="1" applyBorder="1" applyAlignment="1">
      <alignment wrapText="1"/>
    </xf>
    <xf numFmtId="0" fontId="49" fillId="0" borderId="16" xfId="0" quotePrefix="1" applyFont="1" applyBorder="1" applyAlignment="1">
      <alignment wrapText="1"/>
    </xf>
    <xf numFmtId="0" fontId="49" fillId="0" borderId="0" xfId="0" applyFont="1" applyAlignment="1">
      <alignment vertical="center" wrapText="1"/>
    </xf>
    <xf numFmtId="0" fontId="48" fillId="0" borderId="0" xfId="0" applyFont="1" applyAlignment="1">
      <alignment vertical="center" wrapText="1"/>
    </xf>
    <xf numFmtId="0" fontId="48" fillId="3" borderId="4" xfId="0" applyFont="1" applyFill="1" applyBorder="1" applyAlignment="1">
      <alignment vertical="center" wrapText="1"/>
    </xf>
    <xf numFmtId="0" fontId="48" fillId="3" borderId="3" xfId="0" applyFont="1" applyFill="1" applyBorder="1" applyAlignment="1">
      <alignment vertical="center" wrapText="1"/>
    </xf>
    <xf numFmtId="0" fontId="49" fillId="0" borderId="0" xfId="0" applyFont="1" applyBorder="1"/>
    <xf numFmtId="0" fontId="8" fillId="0" borderId="0" xfId="0" applyFont="1"/>
    <xf numFmtId="0" fontId="49" fillId="0" borderId="18" xfId="0" applyFont="1" applyBorder="1"/>
    <xf numFmtId="0" fontId="51" fillId="0" borderId="0" xfId="0" applyFont="1"/>
    <xf numFmtId="0" fontId="52" fillId="0" borderId="0" xfId="0" applyFont="1"/>
    <xf numFmtId="0" fontId="51" fillId="0" borderId="0" xfId="0" applyFont="1" applyFill="1" applyBorder="1" applyAlignment="1">
      <alignment horizontal="left"/>
    </xf>
    <xf numFmtId="167" fontId="1" fillId="0" borderId="0" xfId="15" applyNumberFormat="1" applyFont="1" applyFill="1" applyBorder="1" applyAlignment="1">
      <alignment horizontal="right"/>
    </xf>
    <xf numFmtId="3" fontId="8" fillId="0" borderId="0" xfId="5" applyNumberFormat="1" applyFont="1" applyFill="1" applyAlignment="1">
      <alignment horizontal="right"/>
    </xf>
    <xf numFmtId="3" fontId="8" fillId="0" borderId="30" xfId="5" applyNumberFormat="1" applyFont="1" applyFill="1" applyBorder="1" applyAlignment="1">
      <alignment horizontal="right"/>
    </xf>
    <xf numFmtId="168" fontId="49" fillId="0" borderId="0" xfId="0" applyNumberFormat="1" applyFont="1" applyBorder="1" applyAlignment="1">
      <alignment wrapText="1"/>
    </xf>
    <xf numFmtId="167" fontId="0" fillId="5" borderId="0" xfId="1" applyNumberFormat="1" applyFont="1" applyFill="1" applyAlignment="1">
      <alignment horizontal="center"/>
    </xf>
    <xf numFmtId="167" fontId="15" fillId="5" borderId="0" xfId="1" applyNumberFormat="1" applyFont="1" applyFill="1" applyAlignment="1">
      <alignment horizontal="center"/>
    </xf>
    <xf numFmtId="167" fontId="2" fillId="0" borderId="0" xfId="15" applyNumberFormat="1" applyFont="1" applyAlignment="1">
      <alignment horizontal="center"/>
    </xf>
    <xf numFmtId="167" fontId="55" fillId="0" borderId="0" xfId="5" applyNumberFormat="1" applyFont="1"/>
    <xf numFmtId="0" fontId="56" fillId="0" borderId="0" xfId="5" applyFont="1"/>
    <xf numFmtId="167" fontId="0" fillId="0" borderId="0" xfId="15" applyNumberFormat="1" applyFont="1"/>
    <xf numFmtId="167" fontId="2" fillId="0" borderId="0" xfId="15" applyNumberFormat="1" applyFont="1" applyFill="1" applyBorder="1" applyAlignment="1">
      <alignment horizontal="right"/>
    </xf>
    <xf numFmtId="0" fontId="40" fillId="0" borderId="0" xfId="5" applyFont="1" applyFill="1" applyBorder="1"/>
    <xf numFmtId="167" fontId="2" fillId="0" borderId="0" xfId="15" applyNumberFormat="1" applyFont="1" applyFill="1" applyBorder="1" applyAlignment="1">
      <alignment horizontal="center"/>
    </xf>
    <xf numFmtId="0" fontId="35" fillId="0" borderId="3" xfId="5" applyFont="1" applyBorder="1" applyAlignment="1">
      <alignment vertical="center" wrapText="1"/>
    </xf>
    <xf numFmtId="3" fontId="14" fillId="0" borderId="0" xfId="5" applyNumberFormat="1"/>
    <xf numFmtId="0" fontId="15" fillId="0" borderId="0" xfId="0" applyFont="1" applyAlignment="1">
      <alignment wrapText="1"/>
    </xf>
    <xf numFmtId="0" fontId="15" fillId="5" borderId="0" xfId="0" applyFont="1" applyFill="1" applyAlignment="1">
      <alignment wrapText="1"/>
    </xf>
    <xf numFmtId="0" fontId="0" fillId="0" borderId="0" xfId="0" applyAlignment="1">
      <alignment wrapText="1"/>
    </xf>
    <xf numFmtId="0" fontId="33" fillId="16" borderId="1" xfId="5" applyFont="1" applyFill="1" applyBorder="1" applyAlignment="1">
      <alignment vertical="center" wrapText="1"/>
    </xf>
    <xf numFmtId="0" fontId="35" fillId="0" borderId="1" xfId="5" applyFont="1" applyBorder="1" applyAlignment="1">
      <alignment vertical="center" wrapText="1"/>
    </xf>
    <xf numFmtId="0" fontId="57" fillId="0" borderId="0" xfId="0" applyFont="1" applyAlignment="1"/>
    <xf numFmtId="0" fontId="2" fillId="22" borderId="0" xfId="0" applyFont="1" applyFill="1" applyAlignment="1">
      <alignment wrapText="1"/>
    </xf>
    <xf numFmtId="3" fontId="34" fillId="5" borderId="15" xfId="5" applyNumberFormat="1" applyFont="1" applyFill="1" applyBorder="1" applyAlignment="1">
      <alignment vertical="center" wrapText="1"/>
    </xf>
    <xf numFmtId="3" fontId="34" fillId="5" borderId="11" xfId="5" applyNumberFormat="1" applyFont="1" applyFill="1" applyBorder="1" applyAlignment="1">
      <alignment vertical="center" wrapText="1"/>
    </xf>
    <xf numFmtId="3" fontId="34" fillId="5" borderId="1" xfId="5" applyNumberFormat="1" applyFont="1" applyFill="1" applyBorder="1" applyAlignment="1">
      <alignment vertical="center" wrapText="1"/>
    </xf>
    <xf numFmtId="3" fontId="35" fillId="5" borderId="15" xfId="5" applyNumberFormat="1" applyFont="1" applyFill="1" applyBorder="1" applyAlignment="1">
      <alignment vertical="center" wrapText="1"/>
    </xf>
    <xf numFmtId="0" fontId="35" fillId="5" borderId="15" xfId="5" applyFont="1" applyFill="1" applyBorder="1" applyAlignment="1">
      <alignment vertical="center" wrapText="1"/>
    </xf>
    <xf numFmtId="0" fontId="57" fillId="0" borderId="0" xfId="0" applyFont="1" applyFill="1" applyAlignment="1">
      <alignment wrapText="1"/>
    </xf>
    <xf numFmtId="0" fontId="33" fillId="5" borderId="9" xfId="5" applyFont="1" applyFill="1" applyBorder="1" applyAlignment="1">
      <alignment vertical="center" wrapText="1"/>
    </xf>
    <xf numFmtId="0" fontId="34" fillId="5" borderId="4" xfId="5" applyFont="1" applyFill="1" applyBorder="1" applyAlignment="1">
      <alignment vertical="center" wrapText="1"/>
    </xf>
    <xf numFmtId="3" fontId="34" fillId="5" borderId="4" xfId="5" applyNumberFormat="1" applyFont="1" applyFill="1" applyBorder="1" applyAlignment="1">
      <alignment vertical="center" wrapText="1"/>
    </xf>
    <xf numFmtId="167" fontId="1" fillId="0" borderId="32" xfId="15" applyNumberFormat="1" applyFont="1" applyBorder="1" applyAlignment="1">
      <alignment horizontal="right"/>
    </xf>
    <xf numFmtId="0" fontId="12" fillId="0" borderId="0" xfId="0" applyFont="1" applyFill="1" applyAlignment="1">
      <alignment horizontal="left" indent="1"/>
    </xf>
    <xf numFmtId="0" fontId="24" fillId="0" borderId="0" xfId="0" applyFont="1"/>
    <xf numFmtId="164" fontId="49" fillId="0" borderId="1" xfId="0" applyNumberFormat="1" applyFont="1" applyFill="1" applyBorder="1" applyAlignment="1">
      <alignment wrapText="1"/>
    </xf>
    <xf numFmtId="0" fontId="8" fillId="0" borderId="0" xfId="5" quotePrefix="1" applyFont="1"/>
    <xf numFmtId="0" fontId="0" fillId="0" borderId="16" xfId="0" applyFill="1" applyBorder="1"/>
    <xf numFmtId="0" fontId="0" fillId="0" borderId="5" xfId="0" applyFont="1" applyFill="1" applyBorder="1" applyAlignment="1">
      <alignment wrapText="1"/>
    </xf>
    <xf numFmtId="0" fontId="49" fillId="0" borderId="16" xfId="0" applyFont="1" applyFill="1" applyBorder="1"/>
    <xf numFmtId="0" fontId="49" fillId="0" borderId="16" xfId="0" applyFont="1" applyFill="1" applyBorder="1" applyAlignment="1">
      <alignment wrapText="1"/>
    </xf>
    <xf numFmtId="0" fontId="24" fillId="0" borderId="0" xfId="0" applyFont="1" applyAlignment="1"/>
    <xf numFmtId="0" fontId="12" fillId="5" borderId="0" xfId="0" applyFont="1" applyFill="1"/>
    <xf numFmtId="0" fontId="40" fillId="0" borderId="0" xfId="5" applyFont="1" applyAlignment="1">
      <alignment horizontal="center"/>
    </xf>
    <xf numFmtId="9" fontId="58" fillId="0" borderId="0" xfId="5" applyNumberFormat="1" applyFont="1" applyAlignment="1">
      <alignment horizontal="center"/>
    </xf>
    <xf numFmtId="167" fontId="40" fillId="0" borderId="0" xfId="5" applyNumberFormat="1" applyFont="1" applyAlignment="1">
      <alignment horizontal="center" vertical="center"/>
    </xf>
    <xf numFmtId="167" fontId="40" fillId="20" borderId="33" xfId="5" applyNumberFormat="1" applyFont="1" applyFill="1" applyBorder="1"/>
    <xf numFmtId="3" fontId="26" fillId="0" borderId="0" xfId="0" applyNumberFormat="1" applyFont="1"/>
    <xf numFmtId="3" fontId="26" fillId="9" borderId="0" xfId="0" applyNumberFormat="1" applyFont="1" applyFill="1"/>
    <xf numFmtId="0" fontId="52" fillId="0" borderId="16" xfId="0" applyFont="1" applyBorder="1"/>
    <xf numFmtId="0" fontId="52" fillId="0" borderId="18" xfId="0" applyFont="1" applyBorder="1" applyAlignment="1">
      <alignment wrapText="1"/>
    </xf>
    <xf numFmtId="165" fontId="49" fillId="0" borderId="22" xfId="0" applyNumberFormat="1" applyFont="1" applyFill="1" applyBorder="1" applyAlignment="1">
      <alignment wrapText="1"/>
    </xf>
    <xf numFmtId="165" fontId="49" fillId="0" borderId="18" xfId="0" applyNumberFormat="1" applyFont="1" applyBorder="1" applyAlignment="1">
      <alignment wrapText="1"/>
    </xf>
    <xf numFmtId="165" fontId="49" fillId="0" borderId="18" xfId="0" applyNumberFormat="1" applyFont="1" applyFill="1" applyBorder="1" applyAlignment="1">
      <alignment wrapText="1"/>
    </xf>
    <xf numFmtId="165" fontId="48" fillId="0" borderId="17" xfId="0" applyNumberFormat="1" applyFont="1" applyBorder="1"/>
    <xf numFmtId="3" fontId="26" fillId="10" borderId="0" xfId="0" applyNumberFormat="1" applyFont="1" applyFill="1"/>
    <xf numFmtId="0" fontId="24" fillId="0" borderId="0" xfId="0" applyFont="1" applyFill="1" applyAlignment="1"/>
    <xf numFmtId="0" fontId="12" fillId="5" borderId="0" xfId="0" applyFont="1" applyFill="1" applyAlignment="1">
      <alignment horizontal="left" indent="1"/>
    </xf>
    <xf numFmtId="0" fontId="12" fillId="7" borderId="0" xfId="0" applyFont="1" applyFill="1" applyAlignment="1">
      <alignment horizontal="left" indent="1"/>
    </xf>
    <xf numFmtId="3" fontId="30" fillId="0" borderId="0" xfId="0" applyNumberFormat="1" applyFont="1" applyFill="1" applyAlignment="1">
      <alignment horizontal="center"/>
    </xf>
    <xf numFmtId="3" fontId="21" fillId="0" borderId="0" xfId="0" applyNumberFormat="1" applyFont="1" applyFill="1"/>
    <xf numFmtId="3" fontId="15" fillId="0" borderId="0" xfId="0" applyNumberFormat="1" applyFont="1" applyFill="1" applyAlignment="1">
      <alignment horizontal="center"/>
    </xf>
    <xf numFmtId="3" fontId="26" fillId="0" borderId="30" xfId="0" applyNumberFormat="1" applyFont="1" applyFill="1" applyBorder="1"/>
    <xf numFmtId="168" fontId="54" fillId="0" borderId="18" xfId="0" applyNumberFormat="1" applyFont="1" applyFill="1" applyBorder="1" applyAlignment="1">
      <alignment wrapText="1"/>
    </xf>
    <xf numFmtId="168" fontId="49" fillId="0" borderId="18" xfId="0" applyNumberFormat="1" applyFont="1" applyFill="1" applyBorder="1" applyAlignment="1">
      <alignment wrapText="1"/>
    </xf>
    <xf numFmtId="168" fontId="49" fillId="0" borderId="16" xfId="0" applyNumberFormat="1" applyFont="1" applyFill="1" applyBorder="1" applyAlignment="1">
      <alignment wrapText="1"/>
    </xf>
    <xf numFmtId="166" fontId="6" fillId="5" borderId="37" xfId="0" applyNumberFormat="1" applyFont="1" applyFill="1" applyBorder="1" applyAlignment="1">
      <alignment wrapText="1"/>
    </xf>
    <xf numFmtId="165" fontId="48" fillId="5" borderId="17" xfId="0" applyNumberFormat="1" applyFont="1" applyFill="1" applyBorder="1" applyAlignment="1">
      <alignment wrapText="1"/>
    </xf>
    <xf numFmtId="0" fontId="59" fillId="0" borderId="0" xfId="0" applyFont="1"/>
    <xf numFmtId="0" fontId="2" fillId="0" borderId="0" xfId="0" applyFont="1" applyAlignment="1">
      <alignment horizontal="center"/>
    </xf>
    <xf numFmtId="43" fontId="2" fillId="0" borderId="0" xfId="1" applyFont="1" applyAlignment="1">
      <alignment horizontal="center"/>
    </xf>
    <xf numFmtId="43" fontId="0" fillId="0" borderId="0" xfId="1" applyFont="1"/>
    <xf numFmtId="43" fontId="0" fillId="0" borderId="0" xfId="1" applyFont="1" applyFill="1"/>
    <xf numFmtId="0" fontId="6" fillId="0" borderId="0" xfId="0" applyFont="1" applyAlignment="1">
      <alignment horizontal="center"/>
    </xf>
    <xf numFmtId="43" fontId="2" fillId="0" borderId="33" xfId="1" applyFont="1" applyBorder="1"/>
    <xf numFmtId="43" fontId="2" fillId="0" borderId="0" xfId="1" applyFont="1"/>
    <xf numFmtId="0" fontId="0" fillId="0" borderId="23" xfId="0" applyFill="1" applyBorder="1" applyAlignment="1">
      <alignment horizontal="left" wrapText="1"/>
    </xf>
    <xf numFmtId="0" fontId="0" fillId="0" borderId="24" xfId="0" applyFill="1" applyBorder="1" applyAlignment="1">
      <alignment horizontal="left" wrapText="1"/>
    </xf>
    <xf numFmtId="0" fontId="0" fillId="0" borderId="25" xfId="0" applyFill="1" applyBorder="1" applyAlignment="1">
      <alignment horizontal="left" wrapText="1"/>
    </xf>
    <xf numFmtId="0" fontId="0" fillId="0" borderId="30" xfId="0" applyFill="1" applyBorder="1" applyAlignment="1">
      <alignment wrapText="1"/>
    </xf>
    <xf numFmtId="0" fontId="0" fillId="0" borderId="36" xfId="0" applyFill="1" applyBorder="1" applyAlignment="1">
      <alignment wrapText="1"/>
    </xf>
    <xf numFmtId="0" fontId="0" fillId="0" borderId="23" xfId="0" applyFill="1" applyBorder="1" applyAlignment="1">
      <alignment horizontal="left"/>
    </xf>
    <xf numFmtId="0" fontId="8" fillId="0" borderId="30" xfId="5" applyFont="1" applyBorder="1"/>
    <xf numFmtId="3" fontId="6" fillId="0" borderId="0" xfId="0" applyNumberFormat="1" applyFont="1"/>
    <xf numFmtId="0" fontId="61" fillId="0" borderId="0" xfId="0" applyFont="1"/>
    <xf numFmtId="167" fontId="2" fillId="0" borderId="33" xfId="15" applyNumberFormat="1" applyFont="1" applyFill="1" applyBorder="1" applyAlignment="1">
      <alignment horizontal="right"/>
    </xf>
    <xf numFmtId="167" fontId="8" fillId="0" borderId="0" xfId="1" applyNumberFormat="1" applyFont="1" applyFill="1" applyAlignment="1">
      <alignment horizontal="right"/>
    </xf>
    <xf numFmtId="167" fontId="2" fillId="0" borderId="30" xfId="15" applyNumberFormat="1" applyFont="1" applyFill="1" applyBorder="1" applyAlignment="1">
      <alignment horizontal="right"/>
    </xf>
    <xf numFmtId="3" fontId="46" fillId="0" borderId="0" xfId="5" applyNumberFormat="1" applyFont="1"/>
    <xf numFmtId="0" fontId="8" fillId="0" borderId="16" xfId="0" applyFont="1" applyBorder="1"/>
    <xf numFmtId="166" fontId="62" fillId="0" borderId="18" xfId="0" applyNumberFormat="1" applyFont="1" applyBorder="1" applyAlignment="1">
      <alignment wrapText="1"/>
    </xf>
    <xf numFmtId="167" fontId="6" fillId="7" borderId="18" xfId="1" applyNumberFormat="1" applyFont="1" applyFill="1" applyBorder="1" applyAlignment="1">
      <alignment horizontal="right" wrapText="1"/>
    </xf>
    <xf numFmtId="0" fontId="0" fillId="0" borderId="18" xfId="0" applyFont="1" applyBorder="1" applyAlignment="1">
      <alignment wrapText="1"/>
    </xf>
    <xf numFmtId="167" fontId="46" fillId="0" borderId="0" xfId="5" applyNumberFormat="1" applyFont="1"/>
    <xf numFmtId="165" fontId="49" fillId="0" borderId="16" xfId="0" applyNumberFormat="1" applyFont="1" applyFill="1" applyBorder="1" applyAlignment="1">
      <alignment wrapText="1"/>
    </xf>
    <xf numFmtId="0" fontId="49" fillId="0" borderId="16" xfId="0" quotePrefix="1" applyFont="1" applyBorder="1" applyAlignment="1"/>
    <xf numFmtId="0" fontId="54" fillId="0" borderId="16" xfId="0" applyFont="1" applyBorder="1" applyAlignment="1">
      <alignment wrapText="1"/>
    </xf>
    <xf numFmtId="0" fontId="39" fillId="0" borderId="0" xfId="5" applyFont="1" applyAlignment="1">
      <alignment horizontal="center"/>
    </xf>
    <xf numFmtId="0" fontId="0" fillId="0" borderId="0" xfId="0" applyFill="1" applyBorder="1" applyAlignment="1">
      <alignment horizontal="left" wrapText="1"/>
    </xf>
    <xf numFmtId="0" fontId="49" fillId="0" borderId="4" xfId="0" applyFont="1" applyBorder="1" applyAlignment="1">
      <alignment horizontal="left"/>
    </xf>
    <xf numFmtId="0" fontId="49" fillId="0" borderId="7" xfId="0" applyFont="1" applyBorder="1" applyAlignment="1">
      <alignment horizontal="left"/>
    </xf>
    <xf numFmtId="0" fontId="49" fillId="0" borderId="2" xfId="0" applyFont="1" applyBorder="1" applyAlignment="1">
      <alignment horizontal="left"/>
    </xf>
    <xf numFmtId="0" fontId="49" fillId="0" borderId="16" xfId="0" applyFont="1"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52" fillId="0" borderId="16" xfId="0" applyFont="1" applyBorder="1" applyAlignment="1">
      <alignment horizontal="left" wrapText="1"/>
    </xf>
    <xf numFmtId="0" fontId="49" fillId="0" borderId="13" xfId="0" applyFont="1" applyBorder="1" applyAlignment="1">
      <alignment horizontal="left"/>
    </xf>
    <xf numFmtId="0" fontId="49" fillId="0" borderId="12" xfId="0" applyFont="1" applyBorder="1" applyAlignment="1">
      <alignment horizontal="left"/>
    </xf>
    <xf numFmtId="0" fontId="49" fillId="0" borderId="10" xfId="0" applyFont="1" applyBorder="1" applyAlignment="1">
      <alignment horizontal="left"/>
    </xf>
    <xf numFmtId="0" fontId="49" fillId="0" borderId="8" xfId="0" applyFont="1" applyBorder="1" applyAlignment="1">
      <alignment horizontal="left"/>
    </xf>
    <xf numFmtId="0" fontId="49" fillId="0" borderId="0" xfId="0" applyFont="1" applyAlignment="1">
      <alignment horizontal="left"/>
    </xf>
    <xf numFmtId="0" fontId="49" fillId="0" borderId="11" xfId="0" applyFont="1" applyBorder="1" applyAlignment="1">
      <alignment horizontal="left"/>
    </xf>
    <xf numFmtId="0" fontId="49" fillId="0" borderId="9" xfId="0" applyFont="1" applyBorder="1" applyAlignment="1">
      <alignment horizontal="left"/>
    </xf>
    <xf numFmtId="0" fontId="49" fillId="0" borderId="14" xfId="0" applyFont="1" applyBorder="1" applyAlignment="1">
      <alignment horizontal="left"/>
    </xf>
    <xf numFmtId="0" fontId="49" fillId="0" borderId="15" xfId="0" applyFont="1" applyBorder="1" applyAlignment="1">
      <alignment horizontal="left"/>
    </xf>
    <xf numFmtId="0" fontId="48" fillId="3" borderId="13" xfId="0" applyFont="1" applyFill="1" applyBorder="1" applyAlignment="1">
      <alignment vertical="center" wrapText="1"/>
    </xf>
    <xf numFmtId="0" fontId="49" fillId="0" borderId="8" xfId="0" applyFont="1" applyBorder="1" applyAlignment="1">
      <alignment vertical="center" wrapText="1"/>
    </xf>
    <xf numFmtId="0" fontId="49" fillId="0" borderId="9" xfId="0" applyFont="1" applyBorder="1" applyAlignment="1">
      <alignment vertical="center" wrapText="1"/>
    </xf>
    <xf numFmtId="0" fontId="49" fillId="0" borderId="17" xfId="0" applyFont="1" applyBorder="1" applyAlignment="1">
      <alignment horizontal="center" wrapText="1"/>
    </xf>
    <xf numFmtId="0" fontId="48" fillId="2" borderId="10" xfId="0" applyFont="1" applyFill="1" applyBorder="1" applyAlignment="1">
      <alignment vertical="center" wrapText="1"/>
    </xf>
    <xf numFmtId="0" fontId="48" fillId="2" borderId="11" xfId="0" applyFont="1" applyFill="1" applyBorder="1" applyAlignment="1">
      <alignment vertical="center" wrapText="1"/>
    </xf>
    <xf numFmtId="0" fontId="48" fillId="0" borderId="15" xfId="0" applyFont="1" applyBorder="1"/>
    <xf numFmtId="0" fontId="48" fillId="3" borderId="4" xfId="0" applyFont="1" applyFill="1" applyBorder="1" applyAlignment="1">
      <alignment horizontal="center" vertical="center" wrapText="1"/>
    </xf>
    <xf numFmtId="0" fontId="49" fillId="0" borderId="2" xfId="0" applyFont="1" applyBorder="1" applyAlignment="1">
      <alignment horizontal="center"/>
    </xf>
    <xf numFmtId="0" fontId="49" fillId="0" borderId="40" xfId="0" applyFont="1" applyBorder="1" applyAlignment="1">
      <alignment wrapText="1"/>
    </xf>
    <xf numFmtId="0" fontId="49" fillId="0" borderId="41" xfId="0" applyFont="1" applyBorder="1"/>
    <xf numFmtId="0" fontId="49" fillId="0" borderId="45" xfId="0" applyFont="1" applyBorder="1" applyAlignment="1">
      <alignment wrapText="1"/>
    </xf>
    <xf numFmtId="0" fontId="49" fillId="0" borderId="46" xfId="0" applyFont="1" applyBorder="1"/>
    <xf numFmtId="0" fontId="49" fillId="0" borderId="42" xfId="0" applyFont="1" applyBorder="1" applyAlignment="1">
      <alignment wrapText="1"/>
    </xf>
    <xf numFmtId="0" fontId="49" fillId="0" borderId="39" xfId="0" applyFont="1" applyBorder="1"/>
    <xf numFmtId="0" fontId="49" fillId="0" borderId="43" xfId="0" applyFont="1" applyBorder="1" applyAlignment="1">
      <alignment wrapText="1"/>
    </xf>
    <xf numFmtId="0" fontId="49" fillId="0" borderId="44" xfId="0" applyFont="1" applyBorder="1"/>
    <xf numFmtId="0" fontId="48" fillId="0" borderId="13" xfId="0" applyFont="1" applyBorder="1" applyAlignment="1">
      <alignment vertical="center" wrapText="1"/>
    </xf>
    <xf numFmtId="0" fontId="48" fillId="0" borderId="12" xfId="0" applyFont="1" applyBorder="1" applyAlignment="1">
      <alignment vertical="center" wrapText="1"/>
    </xf>
    <xf numFmtId="0" fontId="48" fillId="0" borderId="10" xfId="0" applyFont="1" applyBorder="1" applyAlignment="1">
      <alignment vertical="center" wrapText="1"/>
    </xf>
    <xf numFmtId="0" fontId="48" fillId="0" borderId="8" xfId="0" applyFont="1" applyBorder="1" applyAlignment="1">
      <alignment vertical="center" wrapText="1"/>
    </xf>
    <xf numFmtId="0" fontId="48" fillId="0" borderId="0" xfId="0" applyFont="1" applyAlignment="1">
      <alignment vertical="center" wrapText="1"/>
    </xf>
    <xf numFmtId="0" fontId="48" fillId="0" borderId="11" xfId="0" applyFont="1" applyBorder="1" applyAlignment="1">
      <alignment vertical="center" wrapText="1"/>
    </xf>
    <xf numFmtId="0" fontId="48" fillId="0" borderId="9"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168" fontId="0" fillId="0" borderId="23" xfId="0" applyNumberFormat="1" applyFill="1" applyBorder="1" applyAlignment="1">
      <alignment horizontal="left" wrapText="1"/>
    </xf>
    <xf numFmtId="168" fontId="0" fillId="0" borderId="24" xfId="0" applyNumberFormat="1" applyFill="1" applyBorder="1" applyAlignment="1">
      <alignment horizontal="left" wrapText="1"/>
    </xf>
    <xf numFmtId="168" fontId="0" fillId="0" borderId="25" xfId="0" applyNumberFormat="1" applyFill="1" applyBorder="1" applyAlignment="1">
      <alignment horizontal="left" wrapText="1"/>
    </xf>
    <xf numFmtId="0" fontId="48" fillId="0" borderId="0" xfId="0" applyFont="1" applyAlignment="1">
      <alignment horizontal="center"/>
    </xf>
    <xf numFmtId="0" fontId="48" fillId="0" borderId="4" xfId="0" applyFont="1" applyBorder="1" applyAlignment="1">
      <alignment horizontal="center" wrapText="1"/>
    </xf>
    <xf numFmtId="0" fontId="48" fillId="0" borderId="7" xfId="0" applyFont="1" applyBorder="1" applyAlignment="1">
      <alignment horizontal="center" wrapText="1"/>
    </xf>
    <xf numFmtId="0" fontId="48" fillId="0" borderId="2" xfId="0" applyFont="1" applyBorder="1" applyAlignment="1">
      <alignment horizontal="center" wrapText="1"/>
    </xf>
    <xf numFmtId="0" fontId="48" fillId="3" borderId="1" xfId="0" applyFont="1" applyFill="1" applyBorder="1" applyAlignment="1">
      <alignment horizontal="justify" vertical="center" wrapText="1"/>
    </xf>
    <xf numFmtId="0" fontId="49" fillId="0" borderId="5" xfId="0" applyFont="1" applyBorder="1" applyAlignment="1">
      <alignment horizontal="justify" vertical="center" wrapText="1"/>
    </xf>
    <xf numFmtId="0" fontId="49" fillId="0" borderId="6" xfId="0" applyFont="1" applyBorder="1"/>
    <xf numFmtId="0" fontId="48" fillId="3" borderId="21" xfId="0" applyFont="1" applyFill="1" applyBorder="1" applyAlignment="1">
      <alignment horizontal="center" vertical="center" wrapText="1"/>
    </xf>
    <xf numFmtId="0" fontId="48" fillId="3" borderId="19" xfId="0" applyFont="1" applyFill="1" applyBorder="1" applyAlignment="1">
      <alignment horizontal="center" vertical="center" wrapText="1"/>
    </xf>
    <xf numFmtId="0" fontId="48" fillId="3" borderId="20" xfId="0" applyFont="1" applyFill="1" applyBorder="1" applyAlignment="1">
      <alignment horizontal="center" vertical="center" wrapText="1"/>
    </xf>
    <xf numFmtId="0" fontId="54" fillId="0" borderId="22" xfId="0" applyFont="1" applyBorder="1" applyAlignment="1">
      <alignment horizontal="left" wrapText="1"/>
    </xf>
    <xf numFmtId="0" fontId="49" fillId="0" borderId="23" xfId="0" applyFont="1" applyBorder="1" applyAlignment="1">
      <alignment horizontal="left" wrapText="1"/>
    </xf>
    <xf numFmtId="0" fontId="49" fillId="0" borderId="24" xfId="0" applyFont="1" applyBorder="1" applyAlignment="1">
      <alignment horizontal="left" wrapText="1"/>
    </xf>
    <xf numFmtId="0" fontId="49" fillId="0" borderId="25" xfId="0" applyFont="1" applyBorder="1" applyAlignment="1">
      <alignment horizontal="left" wrapText="1"/>
    </xf>
    <xf numFmtId="168" fontId="0" fillId="0" borderId="23" xfId="0" applyNumberFormat="1" applyBorder="1" applyAlignment="1">
      <alignment horizontal="left" wrapText="1"/>
    </xf>
    <xf numFmtId="168" fontId="0" fillId="0" borderId="24" xfId="0" applyNumberFormat="1" applyBorder="1" applyAlignment="1">
      <alignment horizontal="left" wrapText="1"/>
    </xf>
    <xf numFmtId="168" fontId="0" fillId="0" borderId="25" xfId="0" applyNumberFormat="1" applyBorder="1" applyAlignment="1">
      <alignment horizontal="left" wrapText="1"/>
    </xf>
    <xf numFmtId="0" fontId="49" fillId="0" borderId="23" xfId="0" applyFont="1" applyFill="1" applyBorder="1" applyAlignment="1">
      <alignment horizontal="left" wrapText="1"/>
    </xf>
    <xf numFmtId="0" fontId="49" fillId="0" borderId="24" xfId="0" applyFont="1" applyFill="1" applyBorder="1" applyAlignment="1">
      <alignment horizontal="left" wrapText="1"/>
    </xf>
    <xf numFmtId="0" fontId="49" fillId="0" borderId="25" xfId="0" applyFont="1" applyFill="1" applyBorder="1" applyAlignment="1">
      <alignment horizontal="left" wrapText="1"/>
    </xf>
    <xf numFmtId="0" fontId="53" fillId="0" borderId="0" xfId="0" applyFont="1" applyAlignment="1">
      <alignment horizontal="center"/>
    </xf>
    <xf numFmtId="0" fontId="18" fillId="0" borderId="35" xfId="3" applyFont="1" applyFill="1" applyBorder="1" applyAlignment="1">
      <alignment horizontal="center"/>
    </xf>
    <xf numFmtId="0" fontId="18" fillId="0" borderId="7" xfId="3" applyFont="1" applyFill="1" applyBorder="1" applyAlignment="1">
      <alignment horizontal="center"/>
    </xf>
    <xf numFmtId="0" fontId="2" fillId="2" borderId="10" xfId="0" applyFont="1" applyFill="1" applyBorder="1" applyAlignment="1">
      <alignment vertical="top" wrapText="1"/>
    </xf>
    <xf numFmtId="0" fontId="2" fillId="2" borderId="11" xfId="0" applyFont="1" applyFill="1" applyBorder="1" applyAlignment="1">
      <alignment vertical="top" wrapText="1"/>
    </xf>
    <xf numFmtId="0" fontId="2" fillId="0" borderId="11" xfId="0" applyFont="1" applyBorder="1" applyAlignment="1">
      <alignment vertical="top"/>
    </xf>
    <xf numFmtId="0" fontId="0" fillId="0" borderId="17" xfId="0" applyFont="1" applyBorder="1" applyAlignment="1">
      <alignment wrapText="1"/>
    </xf>
    <xf numFmtId="0" fontId="0" fillId="0" borderId="17" xfId="0" applyFont="1" applyBorder="1" applyAlignment="1"/>
    <xf numFmtId="0" fontId="0" fillId="0" borderId="16" xfId="0" applyFont="1" applyBorder="1" applyAlignment="1">
      <alignment wrapText="1"/>
    </xf>
    <xf numFmtId="0" fontId="0" fillId="0" borderId="16" xfId="0" applyFont="1" applyBorder="1" applyAlignment="1"/>
    <xf numFmtId="0" fontId="8" fillId="0" borderId="23" xfId="0" applyFont="1" applyBorder="1" applyAlignment="1">
      <alignment wrapText="1"/>
    </xf>
    <xf numFmtId="0" fontId="8" fillId="0" borderId="25" xfId="0" applyFont="1" applyBorder="1" applyAlignment="1">
      <alignment wrapText="1"/>
    </xf>
    <xf numFmtId="0" fontId="0" fillId="0" borderId="23" xfId="0" applyFill="1" applyBorder="1" applyAlignment="1">
      <alignment horizontal="left" wrapText="1"/>
    </xf>
    <xf numFmtId="0" fontId="0" fillId="0" borderId="24" xfId="0" applyFill="1" applyBorder="1" applyAlignment="1">
      <alignment horizontal="left" wrapText="1"/>
    </xf>
    <xf numFmtId="0" fontId="0" fillId="0" borderId="25" xfId="0" applyFill="1" applyBorder="1" applyAlignment="1">
      <alignment horizontal="left" wrapText="1"/>
    </xf>
    <xf numFmtId="164" fontId="0" fillId="0" borderId="23" xfId="0" applyNumberFormat="1" applyFill="1" applyBorder="1" applyAlignment="1">
      <alignment wrapText="1"/>
    </xf>
    <xf numFmtId="164" fontId="0" fillId="0" borderId="24" xfId="0" applyNumberFormat="1" applyFill="1" applyBorder="1" applyAlignment="1">
      <alignment wrapText="1"/>
    </xf>
    <xf numFmtId="164" fontId="0" fillId="0" borderId="25" xfId="0" applyNumberFormat="1" applyFill="1" applyBorder="1" applyAlignment="1">
      <alignment wrapText="1"/>
    </xf>
    <xf numFmtId="0" fontId="0" fillId="0" borderId="16" xfId="0" applyFill="1" applyBorder="1" applyAlignment="1">
      <alignment wrapText="1"/>
    </xf>
    <xf numFmtId="0" fontId="2" fillId="3" borderId="1" xfId="0" applyFont="1" applyFill="1"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vertical="top"/>
    </xf>
    <xf numFmtId="0" fontId="8" fillId="0" borderId="23" xfId="0" applyFont="1" applyBorder="1" applyAlignment="1">
      <alignment horizontal="left" wrapText="1"/>
    </xf>
    <xf numFmtId="0" fontId="8" fillId="0" borderId="24" xfId="0" applyFont="1" applyBorder="1" applyAlignment="1">
      <alignment horizontal="left" wrapText="1"/>
    </xf>
    <xf numFmtId="0" fontId="8" fillId="0" borderId="25" xfId="0" applyFont="1" applyBorder="1" applyAlignment="1">
      <alignment horizontal="left" wrapText="1"/>
    </xf>
    <xf numFmtId="0" fontId="0" fillId="0" borderId="26" xfId="0" applyFill="1" applyBorder="1" applyAlignment="1">
      <alignment wrapText="1"/>
    </xf>
    <xf numFmtId="0" fontId="0" fillId="0" borderId="30" xfId="0" applyFill="1" applyBorder="1" applyAlignment="1">
      <alignment wrapText="1"/>
    </xf>
    <xf numFmtId="0" fontId="0" fillId="0" borderId="36" xfId="0" applyFill="1" applyBorder="1" applyAlignment="1">
      <alignment wrapText="1"/>
    </xf>
    <xf numFmtId="0" fontId="0" fillId="0" borderId="23" xfId="0" applyFill="1" applyBorder="1" applyAlignment="1">
      <alignment horizontal="left"/>
    </xf>
    <xf numFmtId="0" fontId="0" fillId="0" borderId="24" xfId="0" applyFill="1" applyBorder="1" applyAlignment="1">
      <alignment horizontal="left"/>
    </xf>
    <xf numFmtId="0" fontId="0" fillId="0" borderId="25" xfId="0" applyFill="1" applyBorder="1" applyAlignment="1">
      <alignment horizontal="left"/>
    </xf>
    <xf numFmtId="0" fontId="2" fillId="0" borderId="4" xfId="0" applyFont="1" applyBorder="1" applyAlignment="1">
      <alignment vertical="top" wrapText="1"/>
    </xf>
    <xf numFmtId="0" fontId="2" fillId="0" borderId="7" xfId="0" applyFont="1" applyBorder="1" applyAlignment="1">
      <alignment vertical="top" wrapText="1"/>
    </xf>
    <xf numFmtId="0" fontId="2" fillId="0" borderId="2" xfId="0" applyFont="1" applyBorder="1" applyAlignment="1">
      <alignment vertical="top" wrapText="1"/>
    </xf>
    <xf numFmtId="0" fontId="8" fillId="0" borderId="4" xfId="0" applyFont="1" applyBorder="1" applyAlignment="1">
      <alignment horizontal="left" wrapText="1"/>
    </xf>
    <xf numFmtId="0" fontId="8" fillId="0" borderId="7" xfId="0" applyFont="1" applyBorder="1" applyAlignment="1">
      <alignment horizontal="left" wrapText="1"/>
    </xf>
    <xf numFmtId="0" fontId="8" fillId="0" borderId="2" xfId="0" applyFont="1" applyBorder="1" applyAlignment="1">
      <alignment horizontal="left" wrapText="1"/>
    </xf>
    <xf numFmtId="0" fontId="0" fillId="0" borderId="4" xfId="0" applyBorder="1" applyAlignment="1">
      <alignment vertical="center" wrapText="1"/>
    </xf>
    <xf numFmtId="0" fontId="0" fillId="0" borderId="7" xfId="0" applyBorder="1" applyAlignment="1">
      <alignment vertical="center" wrapText="1"/>
    </xf>
    <xf numFmtId="0" fontId="0" fillId="0" borderId="2" xfId="0" applyBorder="1" applyAlignment="1">
      <alignment vertical="center" wrapText="1"/>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0" fillId="0" borderId="23" xfId="0" applyFill="1" applyBorder="1" applyAlignment="1">
      <alignment wrapText="1"/>
    </xf>
    <xf numFmtId="0" fontId="0" fillId="0" borderId="24" xfId="0" applyFill="1" applyBorder="1" applyAlignment="1">
      <alignment wrapText="1"/>
    </xf>
    <xf numFmtId="0" fontId="0" fillId="0" borderId="25" xfId="0" applyFill="1" applyBorder="1" applyAlignment="1">
      <alignment wrapText="1"/>
    </xf>
    <xf numFmtId="0" fontId="2" fillId="3" borderId="21"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0" fillId="0" borderId="22" xfId="0" applyBorder="1" applyAlignment="1">
      <alignment horizontal="left" wrapText="1"/>
    </xf>
    <xf numFmtId="0" fontId="0" fillId="0" borderId="16" xfId="0" applyFill="1" applyBorder="1" applyAlignment="1">
      <alignment horizontal="center" wrapText="1"/>
    </xf>
    <xf numFmtId="0" fontId="2" fillId="3" borderId="1" xfId="0" applyFont="1"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0" borderId="13" xfId="0" applyFont="1" applyBorder="1" applyAlignment="1"/>
    <xf numFmtId="0" fontId="2" fillId="0" borderId="12" xfId="0" applyFont="1" applyBorder="1" applyAlignment="1"/>
    <xf numFmtId="0" fontId="2" fillId="0" borderId="10" xfId="0" applyFont="1" applyBorder="1" applyAlignment="1"/>
    <xf numFmtId="0" fontId="2" fillId="0" borderId="8" xfId="0" applyFont="1" applyBorder="1" applyAlignment="1"/>
    <xf numFmtId="0" fontId="2" fillId="0" borderId="0" xfId="0" applyFont="1" applyBorder="1" applyAlignment="1"/>
    <xf numFmtId="0" fontId="2" fillId="0" borderId="11" xfId="0" applyFont="1" applyBorder="1" applyAlignment="1"/>
    <xf numFmtId="0" fontId="2" fillId="0" borderId="9" xfId="0" applyFont="1" applyBorder="1" applyAlignment="1"/>
    <xf numFmtId="0" fontId="2" fillId="0" borderId="14" xfId="0" applyFont="1" applyBorder="1" applyAlignment="1"/>
    <xf numFmtId="0" fontId="2" fillId="0" borderId="15" xfId="0" applyFont="1" applyBorder="1" applyAlignment="1"/>
    <xf numFmtId="0" fontId="0" fillId="0" borderId="28" xfId="0" applyBorder="1" applyAlignment="1">
      <alignment horizontal="center" wrapText="1"/>
    </xf>
    <xf numFmtId="0" fontId="0" fillId="0" borderId="38" xfId="0" applyBorder="1" applyAlignment="1">
      <alignment horizontal="center" wrapText="1"/>
    </xf>
    <xf numFmtId="0" fontId="0" fillId="0" borderId="39" xfId="0" applyBorder="1" applyAlignment="1">
      <alignment horizontal="center" wrapText="1"/>
    </xf>
    <xf numFmtId="0" fontId="9" fillId="0" borderId="23" xfId="0" applyFont="1" applyBorder="1" applyAlignment="1">
      <alignment vertical="center" wrapText="1"/>
    </xf>
    <xf numFmtId="0" fontId="9" fillId="0" borderId="24" xfId="0" applyFont="1" applyBorder="1" applyAlignment="1">
      <alignment vertical="center" wrapText="1"/>
    </xf>
    <xf numFmtId="0" fontId="9" fillId="0" borderId="25" xfId="0" applyFont="1" applyBorder="1" applyAlignment="1">
      <alignment vertical="center" wrapText="1"/>
    </xf>
    <xf numFmtId="0" fontId="2" fillId="3" borderId="4" xfId="0" applyFont="1" applyFill="1" applyBorder="1" applyAlignment="1">
      <alignment horizontal="center" vertical="center" wrapText="1"/>
    </xf>
    <xf numFmtId="0" fontId="0" fillId="0" borderId="2" xfId="0" applyBorder="1" applyAlignment="1">
      <alignment horizontal="center"/>
    </xf>
    <xf numFmtId="0" fontId="0" fillId="0" borderId="18" xfId="0" applyFont="1" applyFill="1" applyBorder="1" applyAlignment="1">
      <alignment wrapText="1"/>
    </xf>
    <xf numFmtId="0" fontId="0" fillId="0" borderId="18" xfId="0" applyFont="1" applyFill="1" applyBorder="1" applyAlignment="1"/>
    <xf numFmtId="0" fontId="2" fillId="0" borderId="13" xfId="0" applyFont="1" applyFill="1" applyBorder="1" applyAlignment="1">
      <alignment vertical="top" wrapText="1"/>
    </xf>
    <xf numFmtId="0" fontId="0" fillId="0" borderId="12" xfId="0" applyFill="1" applyBorder="1" applyAlignment="1">
      <alignment vertical="top" wrapText="1"/>
    </xf>
    <xf numFmtId="0" fontId="0" fillId="0" borderId="10" xfId="0" applyFill="1" applyBorder="1" applyAlignment="1">
      <alignment vertical="top" wrapText="1"/>
    </xf>
    <xf numFmtId="0" fontId="0" fillId="0" borderId="8" xfId="0" applyFill="1" applyBorder="1" applyAlignment="1">
      <alignment vertical="top" wrapText="1"/>
    </xf>
    <xf numFmtId="0" fontId="0" fillId="0" borderId="0" xfId="0" applyFill="1" applyBorder="1" applyAlignment="1">
      <alignment vertical="top" wrapText="1"/>
    </xf>
    <xf numFmtId="0" fontId="0" fillId="0" borderId="11" xfId="0" applyFill="1" applyBorder="1" applyAlignment="1">
      <alignment vertical="top" wrapText="1"/>
    </xf>
    <xf numFmtId="0" fontId="0" fillId="0" borderId="9" xfId="0" applyFill="1" applyBorder="1" applyAlignment="1">
      <alignment vertical="top" wrapText="1"/>
    </xf>
    <xf numFmtId="0" fontId="0" fillId="0" borderId="14" xfId="0" applyFill="1" applyBorder="1" applyAlignment="1">
      <alignment vertical="top" wrapText="1"/>
    </xf>
    <xf numFmtId="0" fontId="0" fillId="0" borderId="15" xfId="0" applyFill="1" applyBorder="1" applyAlignment="1">
      <alignment vertical="top" wrapText="1"/>
    </xf>
    <xf numFmtId="0" fontId="0" fillId="0" borderId="4" xfId="0" applyBorder="1" applyAlignment="1"/>
    <xf numFmtId="0" fontId="0" fillId="0" borderId="7" xfId="0" applyBorder="1" applyAlignment="1"/>
    <xf numFmtId="0" fontId="0" fillId="0" borderId="2" xfId="0" applyBorder="1" applyAlignment="1"/>
    <xf numFmtId="0" fontId="0" fillId="0" borderId="17" xfId="0" applyBorder="1" applyAlignment="1">
      <alignment horizontal="left" vertical="center" wrapText="1"/>
    </xf>
    <xf numFmtId="0" fontId="0" fillId="0" borderId="16" xfId="0" applyFont="1" applyBorder="1" applyAlignment="1">
      <alignment horizontal="center" wrapText="1"/>
    </xf>
    <xf numFmtId="0" fontId="9" fillId="0" borderId="4" xfId="0" applyFont="1" applyBorder="1" applyAlignment="1">
      <alignment horizontal="left" vertical="top" wrapText="1"/>
    </xf>
    <xf numFmtId="0" fontId="9" fillId="0" borderId="7" xfId="0" applyFont="1" applyBorder="1" applyAlignment="1">
      <alignment horizontal="left" vertical="top" wrapText="1"/>
    </xf>
    <xf numFmtId="0" fontId="9" fillId="0" borderId="2" xfId="0" applyFont="1" applyBorder="1" applyAlignment="1">
      <alignment horizontal="left" vertical="top" wrapText="1"/>
    </xf>
    <xf numFmtId="0" fontId="0" fillId="0" borderId="17" xfId="0" applyFill="1" applyBorder="1" applyAlignment="1">
      <alignment wrapText="1"/>
    </xf>
    <xf numFmtId="0" fontId="23" fillId="6" borderId="0" xfId="0" applyFont="1" applyFill="1" applyBorder="1" applyAlignment="1">
      <alignment horizontal="center" vertical="center"/>
    </xf>
    <xf numFmtId="0" fontId="12" fillId="2" borderId="27" xfId="0" applyFont="1" applyFill="1" applyBorder="1" applyAlignment="1">
      <alignment horizontal="left"/>
    </xf>
    <xf numFmtId="0" fontId="12" fillId="2" borderId="24" xfId="0" applyFont="1" applyFill="1" applyBorder="1" applyAlignment="1">
      <alignment horizontal="left"/>
    </xf>
    <xf numFmtId="0" fontId="12" fillId="2" borderId="28" xfId="0" applyFont="1" applyFill="1" applyBorder="1" applyAlignment="1">
      <alignment horizontal="left"/>
    </xf>
    <xf numFmtId="0" fontId="32" fillId="14" borderId="4" xfId="5" applyFont="1" applyFill="1" applyBorder="1" applyAlignment="1">
      <alignment vertical="center" wrapText="1"/>
    </xf>
    <xf numFmtId="0" fontId="32" fillId="14" borderId="7" xfId="5" applyFont="1" applyFill="1" applyBorder="1" applyAlignment="1">
      <alignment vertical="center" wrapText="1"/>
    </xf>
    <xf numFmtId="0" fontId="32" fillId="14" borderId="2" xfId="5" applyFont="1" applyFill="1" applyBorder="1" applyAlignment="1">
      <alignment vertical="center" wrapText="1"/>
    </xf>
    <xf numFmtId="0" fontId="32" fillId="15" borderId="4" xfId="5" applyFont="1" applyFill="1" applyBorder="1" applyAlignment="1">
      <alignment vertical="center" wrapText="1"/>
    </xf>
    <xf numFmtId="0" fontId="32" fillId="15" borderId="7" xfId="5" applyFont="1" applyFill="1" applyBorder="1" applyAlignment="1">
      <alignment vertical="center" wrapText="1"/>
    </xf>
    <xf numFmtId="0" fontId="32" fillId="15" borderId="2" xfId="5" applyFont="1" applyFill="1" applyBorder="1" applyAlignment="1">
      <alignment vertical="center" wrapText="1"/>
    </xf>
    <xf numFmtId="0" fontId="32" fillId="16" borderId="4" xfId="5" applyFont="1" applyFill="1" applyBorder="1" applyAlignment="1">
      <alignment vertical="center" wrapText="1"/>
    </xf>
    <xf numFmtId="0" fontId="32" fillId="16" borderId="7" xfId="5" applyFont="1" applyFill="1" applyBorder="1" applyAlignment="1">
      <alignment vertical="center" wrapText="1"/>
    </xf>
    <xf numFmtId="0" fontId="32" fillId="16" borderId="2" xfId="5" applyFont="1" applyFill="1" applyBorder="1" applyAlignment="1">
      <alignment vertical="center" wrapText="1"/>
    </xf>
    <xf numFmtId="0" fontId="33" fillId="16" borderId="1" xfId="5" applyFont="1" applyFill="1" applyBorder="1" applyAlignment="1">
      <alignment vertical="center" wrapText="1"/>
    </xf>
    <xf numFmtId="0" fontId="33" fillId="16" borderId="6" xfId="5" applyFont="1" applyFill="1" applyBorder="1" applyAlignment="1">
      <alignment vertical="center" wrapText="1"/>
    </xf>
    <xf numFmtId="0" fontId="35" fillId="0" borderId="1" xfId="5" applyFont="1" applyBorder="1" applyAlignment="1">
      <alignment vertical="center" wrapText="1"/>
    </xf>
    <xf numFmtId="0" fontId="35" fillId="0" borderId="6" xfId="5" applyFont="1" applyBorder="1" applyAlignment="1">
      <alignment vertical="center" wrapText="1"/>
    </xf>
    <xf numFmtId="0" fontId="32" fillId="17" borderId="4" xfId="5" applyFont="1" applyFill="1" applyBorder="1" applyAlignment="1">
      <alignment vertical="center" wrapText="1"/>
    </xf>
    <xf numFmtId="0" fontId="32" fillId="17" borderId="7" xfId="5" applyFont="1" applyFill="1" applyBorder="1" applyAlignment="1">
      <alignment vertical="center" wrapText="1"/>
    </xf>
    <xf numFmtId="0" fontId="32" fillId="17" borderId="2" xfId="5" applyFont="1" applyFill="1" applyBorder="1" applyAlignment="1">
      <alignment vertical="center" wrapText="1"/>
    </xf>
    <xf numFmtId="0" fontId="32" fillId="18" borderId="4" xfId="5" applyFont="1" applyFill="1" applyBorder="1" applyAlignment="1">
      <alignment vertical="center" wrapText="1"/>
    </xf>
    <xf numFmtId="0" fontId="32" fillId="18" borderId="7" xfId="5" applyFont="1" applyFill="1" applyBorder="1" applyAlignment="1">
      <alignment vertical="center" wrapText="1"/>
    </xf>
    <xf numFmtId="0" fontId="32" fillId="18" borderId="2" xfId="5" applyFont="1" applyFill="1" applyBorder="1" applyAlignment="1">
      <alignment vertical="center" wrapText="1"/>
    </xf>
    <xf numFmtId="0" fontId="32" fillId="19" borderId="4" xfId="5" applyFont="1" applyFill="1" applyBorder="1" applyAlignment="1">
      <alignment vertical="center" wrapText="1"/>
    </xf>
    <xf numFmtId="0" fontId="32" fillId="19" borderId="7" xfId="5" applyFont="1" applyFill="1" applyBorder="1" applyAlignment="1">
      <alignment vertical="center" wrapText="1"/>
    </xf>
    <xf numFmtId="0" fontId="32" fillId="19" borderId="2" xfId="5" applyFont="1" applyFill="1" applyBorder="1" applyAlignment="1">
      <alignment vertical="center" wrapText="1"/>
    </xf>
    <xf numFmtId="0" fontId="35" fillId="0" borderId="5" xfId="5" applyFont="1" applyBorder="1" applyAlignment="1">
      <alignment vertical="center" wrapText="1"/>
    </xf>
  </cellXfs>
  <cellStyles count="16">
    <cellStyle name="%" xfId="7" xr:uid="{00000000-0005-0000-0000-000000000000}"/>
    <cellStyle name="Comma" xfId="1" builtinId="3"/>
    <cellStyle name="Comma 2" xfId="4" xr:uid="{00000000-0005-0000-0000-000002000000}"/>
    <cellStyle name="Comma 3" xfId="8" xr:uid="{00000000-0005-0000-0000-000003000000}"/>
    <cellStyle name="Comma 4" xfId="9" xr:uid="{00000000-0005-0000-0000-000004000000}"/>
    <cellStyle name="Comma 5" xfId="10" xr:uid="{00000000-0005-0000-0000-000005000000}"/>
    <cellStyle name="Comma 6" xfId="15" xr:uid="{6F3A0FD3-8756-4D61-94C7-B7C8FF89F0E9}"/>
    <cellStyle name="Normal" xfId="0" builtinId="0"/>
    <cellStyle name="Normal 2" xfId="3" xr:uid="{00000000-0005-0000-0000-000007000000}"/>
    <cellStyle name="Normal 3" xfId="5" xr:uid="{00000000-0005-0000-0000-000008000000}"/>
    <cellStyle name="Normal 4" xfId="6" xr:uid="{00000000-0005-0000-0000-000009000000}"/>
    <cellStyle name="Normal 4 2" xfId="11" xr:uid="{00000000-0005-0000-0000-00000A000000}"/>
    <cellStyle name="Normal 5" xfId="12" xr:uid="{00000000-0005-0000-0000-00000B000000}"/>
    <cellStyle name="Percent" xfId="2" builtinId="5"/>
    <cellStyle name="Percent 2" xfId="13" xr:uid="{00000000-0005-0000-0000-00000D000000}"/>
    <cellStyle name="Percent 3" xfId="14" xr:uid="{00000000-0005-0000-0000-00000E000000}"/>
  </cellStyles>
  <dxfs count="0"/>
  <tableStyles count="0" defaultTableStyle="TableStyleMedium2" defaultPivotStyle="PivotStyleLight16"/>
  <colors>
    <mruColors>
      <color rgb="FFFFDD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JFU/Working/Commissioner%20for%20Economic%20Planning%20&amp;%20Future%20Prosperity/LEP/LEP%20Funding%20Group/2020-21%20Core%20Fund%20Grant/LEP%2020-21%20Core%20Funding%20Application%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P CORE FUND 20-21 Application"/>
      <sheetName val="Sheet2"/>
      <sheetName val="Sheet3"/>
      <sheetName val="LEP CORE FUND 20-21 Apllication"/>
    </sheetNames>
    <sheetDataSet>
      <sheetData sheetId="0"/>
      <sheetData sheetId="1">
        <row r="2">
          <cell r="A2" t="str">
            <v>IT</v>
          </cell>
        </row>
        <row r="3">
          <cell r="A3" t="str">
            <v>Buildings / Room Hire</v>
          </cell>
        </row>
        <row r="4">
          <cell r="A4" t="str">
            <v>Travel</v>
          </cell>
        </row>
        <row r="5">
          <cell r="A5" t="str">
            <v>Research</v>
          </cell>
        </row>
        <row r="6">
          <cell r="A6" t="str">
            <v>Salaries</v>
          </cell>
        </row>
        <row r="7">
          <cell r="A7" t="str">
            <v>Refreshments</v>
          </cell>
        </row>
        <row r="8">
          <cell r="A8" t="str">
            <v>Other</v>
          </cell>
        </row>
        <row r="12">
          <cell r="A12" t="str">
            <v>Public Sector</v>
          </cell>
        </row>
        <row r="13">
          <cell r="A13" t="str">
            <v>Private Sector</v>
          </cell>
        </row>
        <row r="14">
          <cell r="A14" t="str">
            <v>LEP</v>
          </cell>
        </row>
        <row r="15">
          <cell r="A15" t="str">
            <v>Carried Forward Funds</v>
          </cell>
        </row>
        <row r="16">
          <cell r="A16" t="str">
            <v>Other</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6FE41-CCAE-48E2-B915-97F76406BEB6}">
  <sheetPr>
    <tabColor rgb="FFFFFF00"/>
  </sheetPr>
  <dimension ref="A1:S19"/>
  <sheetViews>
    <sheetView workbookViewId="0">
      <selection activeCell="G8" sqref="G8"/>
    </sheetView>
  </sheetViews>
  <sheetFormatPr defaultRowHeight="15" x14ac:dyDescent="0.2"/>
  <cols>
    <col min="1" max="1" width="14.44140625" customWidth="1"/>
    <col min="2" max="2" width="3.77734375" customWidth="1"/>
    <col min="3" max="3" width="18.77734375" customWidth="1"/>
    <col min="4" max="4" width="15.88671875" customWidth="1"/>
    <col min="5" max="5" width="13.5546875" bestFit="1" customWidth="1"/>
    <col min="6" max="6" width="2.77734375" customWidth="1"/>
    <col min="7" max="7" width="15.44140625" bestFit="1" customWidth="1"/>
    <col min="8" max="8" width="1.77734375" customWidth="1"/>
  </cols>
  <sheetData>
    <row r="1" spans="1:19" ht="15.75" x14ac:dyDescent="0.25">
      <c r="A1" s="347" t="s">
        <v>366</v>
      </c>
    </row>
    <row r="3" spans="1:19" ht="15.75" x14ac:dyDescent="0.25">
      <c r="E3" s="348" t="s">
        <v>367</v>
      </c>
      <c r="G3" s="348" t="s">
        <v>368</v>
      </c>
    </row>
    <row r="4" spans="1:19" ht="15.75" x14ac:dyDescent="0.25">
      <c r="E4" s="348" t="s">
        <v>369</v>
      </c>
      <c r="G4" s="348" t="s">
        <v>370</v>
      </c>
    </row>
    <row r="5" spans="1:19" ht="15.75" x14ac:dyDescent="0.25">
      <c r="A5" s="348" t="s">
        <v>371</v>
      </c>
      <c r="C5" s="2" t="s">
        <v>372</v>
      </c>
      <c r="E5" s="348" t="s">
        <v>373</v>
      </c>
      <c r="G5" s="348" t="s">
        <v>374</v>
      </c>
      <c r="I5" s="2" t="s">
        <v>375</v>
      </c>
    </row>
    <row r="6" spans="1:19" ht="15.75" x14ac:dyDescent="0.25">
      <c r="A6" s="60"/>
      <c r="E6" s="348" t="s">
        <v>146</v>
      </c>
      <c r="G6" s="348" t="s">
        <v>146</v>
      </c>
    </row>
    <row r="7" spans="1:19" ht="15.75" x14ac:dyDescent="0.25">
      <c r="A7" s="60"/>
      <c r="E7" s="349"/>
      <c r="F7" s="350"/>
      <c r="G7" s="349"/>
    </row>
    <row r="8" spans="1:19" ht="15.75" x14ac:dyDescent="0.25">
      <c r="A8" s="348" t="s">
        <v>376</v>
      </c>
      <c r="C8" s="2" t="s">
        <v>377</v>
      </c>
      <c r="E8" s="351">
        <v>-209640.7</v>
      </c>
      <c r="F8" s="350"/>
      <c r="G8" s="350">
        <v>-367795.15</v>
      </c>
      <c r="I8" t="s">
        <v>378</v>
      </c>
      <c r="S8" s="44" t="s">
        <v>379</v>
      </c>
    </row>
    <row r="9" spans="1:19" x14ac:dyDescent="0.2">
      <c r="A9" s="60"/>
      <c r="E9" s="351"/>
      <c r="F9" s="350"/>
      <c r="G9" s="350"/>
      <c r="S9" s="44"/>
    </row>
    <row r="10" spans="1:19" ht="15.75" x14ac:dyDescent="0.25">
      <c r="A10" s="352" t="s">
        <v>380</v>
      </c>
      <c r="C10" s="2" t="s">
        <v>381</v>
      </c>
      <c r="E10" s="351">
        <v>-291744.11</v>
      </c>
      <c r="F10" s="350"/>
      <c r="G10" s="350">
        <v>-292352.87</v>
      </c>
      <c r="I10" t="s">
        <v>382</v>
      </c>
      <c r="S10" s="44" t="s">
        <v>383</v>
      </c>
    </row>
    <row r="11" spans="1:19" x14ac:dyDescent="0.2">
      <c r="A11" s="60"/>
      <c r="E11" s="351"/>
      <c r="F11" s="350"/>
      <c r="G11" s="350"/>
      <c r="S11" s="44"/>
    </row>
    <row r="12" spans="1:19" ht="15.75" x14ac:dyDescent="0.25">
      <c r="A12" s="352" t="s">
        <v>384</v>
      </c>
      <c r="C12" s="2" t="s">
        <v>385</v>
      </c>
      <c r="E12" s="351">
        <v>-215619.46</v>
      </c>
      <c r="F12" s="350"/>
      <c r="G12" s="351">
        <v>-250116.23</v>
      </c>
      <c r="I12" t="s">
        <v>388</v>
      </c>
      <c r="S12" s="44" t="s">
        <v>386</v>
      </c>
    </row>
    <row r="13" spans="1:19" x14ac:dyDescent="0.2">
      <c r="A13" s="60"/>
      <c r="E13" s="351"/>
      <c r="F13" s="350"/>
      <c r="G13" s="350"/>
    </row>
    <row r="14" spans="1:19" s="2" customFormat="1" ht="16.5" thickBot="1" x14ac:dyDescent="0.3">
      <c r="A14" s="2" t="s">
        <v>389</v>
      </c>
      <c r="E14" s="353">
        <f>SUM(E7:E13)</f>
        <v>-717004.27</v>
      </c>
      <c r="F14" s="354"/>
      <c r="G14" s="353">
        <f>SUM(G7:G13)</f>
        <v>-910264.25</v>
      </c>
    </row>
    <row r="15" spans="1:19" ht="15.75" thickTop="1" x14ac:dyDescent="0.2"/>
    <row r="16" spans="1:19" ht="15.75" x14ac:dyDescent="0.25">
      <c r="A16" s="2" t="s">
        <v>57</v>
      </c>
      <c r="E16" s="350"/>
    </row>
    <row r="17" spans="1:5" x14ac:dyDescent="0.2">
      <c r="A17" t="s">
        <v>391</v>
      </c>
      <c r="E17" s="350"/>
    </row>
    <row r="18" spans="1:5" x14ac:dyDescent="0.2">
      <c r="A18" t="s">
        <v>392</v>
      </c>
    </row>
    <row r="19" spans="1:5" x14ac:dyDescent="0.2">
      <c r="A19" t="s">
        <v>387</v>
      </c>
      <c r="D19" s="350"/>
    </row>
  </sheetData>
  <pageMargins left="0.7" right="0.7" top="0.75" bottom="0.75" header="0.3" footer="0.3"/>
  <pageSetup orientation="portrait" horizontalDpi="90" verticalDpi="9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AB026-8982-46EC-B1F6-00B2D9B41745}">
  <sheetPr>
    <tabColor rgb="FFFFFF00"/>
  </sheetPr>
  <dimension ref="B1:J38"/>
  <sheetViews>
    <sheetView workbookViewId="0">
      <selection activeCell="B2" sqref="B2"/>
    </sheetView>
  </sheetViews>
  <sheetFormatPr defaultRowHeight="12.75" x14ac:dyDescent="0.2"/>
  <cols>
    <col min="1" max="1" width="2.33203125" style="169" customWidth="1"/>
    <col min="2" max="2" width="26.33203125" style="169" customWidth="1"/>
    <col min="3" max="3" width="27" style="169" customWidth="1"/>
    <col min="4" max="4" width="12" style="169" customWidth="1"/>
    <col min="5" max="5" width="13.6640625" style="169" customWidth="1"/>
    <col min="6" max="256" width="8.88671875" style="169"/>
    <col min="257" max="257" width="2.33203125" style="169" customWidth="1"/>
    <col min="258" max="258" width="25.33203125" style="169" customWidth="1"/>
    <col min="259" max="259" width="27" style="169" customWidth="1"/>
    <col min="260" max="260" width="12" style="169" customWidth="1"/>
    <col min="261" max="261" width="13.6640625" style="169" customWidth="1"/>
    <col min="262" max="512" width="8.88671875" style="169"/>
    <col min="513" max="513" width="2.33203125" style="169" customWidth="1"/>
    <col min="514" max="514" width="25.33203125" style="169" customWidth="1"/>
    <col min="515" max="515" width="27" style="169" customWidth="1"/>
    <col min="516" max="516" width="12" style="169" customWidth="1"/>
    <col min="517" max="517" width="13.6640625" style="169" customWidth="1"/>
    <col min="518" max="768" width="8.88671875" style="169"/>
    <col min="769" max="769" width="2.33203125" style="169" customWidth="1"/>
    <col min="770" max="770" width="25.33203125" style="169" customWidth="1"/>
    <col min="771" max="771" width="27" style="169" customWidth="1"/>
    <col min="772" max="772" width="12" style="169" customWidth="1"/>
    <col min="773" max="773" width="13.6640625" style="169" customWidth="1"/>
    <col min="774" max="1024" width="8.88671875" style="169"/>
    <col min="1025" max="1025" width="2.33203125" style="169" customWidth="1"/>
    <col min="1026" max="1026" width="25.33203125" style="169" customWidth="1"/>
    <col min="1027" max="1027" width="27" style="169" customWidth="1"/>
    <col min="1028" max="1028" width="12" style="169" customWidth="1"/>
    <col min="1029" max="1029" width="13.6640625" style="169" customWidth="1"/>
    <col min="1030" max="1280" width="8.88671875" style="169"/>
    <col min="1281" max="1281" width="2.33203125" style="169" customWidth="1"/>
    <col min="1282" max="1282" width="25.33203125" style="169" customWidth="1"/>
    <col min="1283" max="1283" width="27" style="169" customWidth="1"/>
    <col min="1284" max="1284" width="12" style="169" customWidth="1"/>
    <col min="1285" max="1285" width="13.6640625" style="169" customWidth="1"/>
    <col min="1286" max="1536" width="8.88671875" style="169"/>
    <col min="1537" max="1537" width="2.33203125" style="169" customWidth="1"/>
    <col min="1538" max="1538" width="25.33203125" style="169" customWidth="1"/>
    <col min="1539" max="1539" width="27" style="169" customWidth="1"/>
    <col min="1540" max="1540" width="12" style="169" customWidth="1"/>
    <col min="1541" max="1541" width="13.6640625" style="169" customWidth="1"/>
    <col min="1542" max="1792" width="8.88671875" style="169"/>
    <col min="1793" max="1793" width="2.33203125" style="169" customWidth="1"/>
    <col min="1794" max="1794" width="25.33203125" style="169" customWidth="1"/>
    <col min="1795" max="1795" width="27" style="169" customWidth="1"/>
    <col min="1796" max="1796" width="12" style="169" customWidth="1"/>
    <col min="1797" max="1797" width="13.6640625" style="169" customWidth="1"/>
    <col min="1798" max="2048" width="8.88671875" style="169"/>
    <col min="2049" max="2049" width="2.33203125" style="169" customWidth="1"/>
    <col min="2050" max="2050" width="25.33203125" style="169" customWidth="1"/>
    <col min="2051" max="2051" width="27" style="169" customWidth="1"/>
    <col min="2052" max="2052" width="12" style="169" customWidth="1"/>
    <col min="2053" max="2053" width="13.6640625" style="169" customWidth="1"/>
    <col min="2054" max="2304" width="8.88671875" style="169"/>
    <col min="2305" max="2305" width="2.33203125" style="169" customWidth="1"/>
    <col min="2306" max="2306" width="25.33203125" style="169" customWidth="1"/>
    <col min="2307" max="2307" width="27" style="169" customWidth="1"/>
    <col min="2308" max="2308" width="12" style="169" customWidth="1"/>
    <col min="2309" max="2309" width="13.6640625" style="169" customWidth="1"/>
    <col min="2310" max="2560" width="8.88671875" style="169"/>
    <col min="2561" max="2561" width="2.33203125" style="169" customWidth="1"/>
    <col min="2562" max="2562" width="25.33203125" style="169" customWidth="1"/>
    <col min="2563" max="2563" width="27" style="169" customWidth="1"/>
    <col min="2564" max="2564" width="12" style="169" customWidth="1"/>
    <col min="2565" max="2565" width="13.6640625" style="169" customWidth="1"/>
    <col min="2566" max="2816" width="8.88671875" style="169"/>
    <col min="2817" max="2817" width="2.33203125" style="169" customWidth="1"/>
    <col min="2818" max="2818" width="25.33203125" style="169" customWidth="1"/>
    <col min="2819" max="2819" width="27" style="169" customWidth="1"/>
    <col min="2820" max="2820" width="12" style="169" customWidth="1"/>
    <col min="2821" max="2821" width="13.6640625" style="169" customWidth="1"/>
    <col min="2822" max="3072" width="8.88671875" style="169"/>
    <col min="3073" max="3073" width="2.33203125" style="169" customWidth="1"/>
    <col min="3074" max="3074" width="25.33203125" style="169" customWidth="1"/>
    <col min="3075" max="3075" width="27" style="169" customWidth="1"/>
    <col min="3076" max="3076" width="12" style="169" customWidth="1"/>
    <col min="3077" max="3077" width="13.6640625" style="169" customWidth="1"/>
    <col min="3078" max="3328" width="8.88671875" style="169"/>
    <col min="3329" max="3329" width="2.33203125" style="169" customWidth="1"/>
    <col min="3330" max="3330" width="25.33203125" style="169" customWidth="1"/>
    <col min="3331" max="3331" width="27" style="169" customWidth="1"/>
    <col min="3332" max="3332" width="12" style="169" customWidth="1"/>
    <col min="3333" max="3333" width="13.6640625" style="169" customWidth="1"/>
    <col min="3334" max="3584" width="8.88671875" style="169"/>
    <col min="3585" max="3585" width="2.33203125" style="169" customWidth="1"/>
    <col min="3586" max="3586" width="25.33203125" style="169" customWidth="1"/>
    <col min="3587" max="3587" width="27" style="169" customWidth="1"/>
    <col min="3588" max="3588" width="12" style="169" customWidth="1"/>
    <col min="3589" max="3589" width="13.6640625" style="169" customWidth="1"/>
    <col min="3590" max="3840" width="8.88671875" style="169"/>
    <col min="3841" max="3841" width="2.33203125" style="169" customWidth="1"/>
    <col min="3842" max="3842" width="25.33203125" style="169" customWidth="1"/>
    <col min="3843" max="3843" width="27" style="169" customWidth="1"/>
    <col min="3844" max="3844" width="12" style="169" customWidth="1"/>
    <col min="3845" max="3845" width="13.6640625" style="169" customWidth="1"/>
    <col min="3846" max="4096" width="8.88671875" style="169"/>
    <col min="4097" max="4097" width="2.33203125" style="169" customWidth="1"/>
    <col min="4098" max="4098" width="25.33203125" style="169" customWidth="1"/>
    <col min="4099" max="4099" width="27" style="169" customWidth="1"/>
    <col min="4100" max="4100" width="12" style="169" customWidth="1"/>
    <col min="4101" max="4101" width="13.6640625" style="169" customWidth="1"/>
    <col min="4102" max="4352" width="8.88671875" style="169"/>
    <col min="4353" max="4353" width="2.33203125" style="169" customWidth="1"/>
    <col min="4354" max="4354" width="25.33203125" style="169" customWidth="1"/>
    <col min="4355" max="4355" width="27" style="169" customWidth="1"/>
    <col min="4356" max="4356" width="12" style="169" customWidth="1"/>
    <col min="4357" max="4357" width="13.6640625" style="169" customWidth="1"/>
    <col min="4358" max="4608" width="8.88671875" style="169"/>
    <col min="4609" max="4609" width="2.33203125" style="169" customWidth="1"/>
    <col min="4610" max="4610" width="25.33203125" style="169" customWidth="1"/>
    <col min="4611" max="4611" width="27" style="169" customWidth="1"/>
    <col min="4612" max="4612" width="12" style="169" customWidth="1"/>
    <col min="4613" max="4613" width="13.6640625" style="169" customWidth="1"/>
    <col min="4614" max="4864" width="8.88671875" style="169"/>
    <col min="4865" max="4865" width="2.33203125" style="169" customWidth="1"/>
    <col min="4866" max="4866" width="25.33203125" style="169" customWidth="1"/>
    <col min="4867" max="4867" width="27" style="169" customWidth="1"/>
    <col min="4868" max="4868" width="12" style="169" customWidth="1"/>
    <col min="4869" max="4869" width="13.6640625" style="169" customWidth="1"/>
    <col min="4870" max="5120" width="8.88671875" style="169"/>
    <col min="5121" max="5121" width="2.33203125" style="169" customWidth="1"/>
    <col min="5122" max="5122" width="25.33203125" style="169" customWidth="1"/>
    <col min="5123" max="5123" width="27" style="169" customWidth="1"/>
    <col min="5124" max="5124" width="12" style="169" customWidth="1"/>
    <col min="5125" max="5125" width="13.6640625" style="169" customWidth="1"/>
    <col min="5126" max="5376" width="8.88671875" style="169"/>
    <col min="5377" max="5377" width="2.33203125" style="169" customWidth="1"/>
    <col min="5378" max="5378" width="25.33203125" style="169" customWidth="1"/>
    <col min="5379" max="5379" width="27" style="169" customWidth="1"/>
    <col min="5380" max="5380" width="12" style="169" customWidth="1"/>
    <col min="5381" max="5381" width="13.6640625" style="169" customWidth="1"/>
    <col min="5382" max="5632" width="8.88671875" style="169"/>
    <col min="5633" max="5633" width="2.33203125" style="169" customWidth="1"/>
    <col min="5634" max="5634" width="25.33203125" style="169" customWidth="1"/>
    <col min="5635" max="5635" width="27" style="169" customWidth="1"/>
    <col min="5636" max="5636" width="12" style="169" customWidth="1"/>
    <col min="5637" max="5637" width="13.6640625" style="169" customWidth="1"/>
    <col min="5638" max="5888" width="8.88671875" style="169"/>
    <col min="5889" max="5889" width="2.33203125" style="169" customWidth="1"/>
    <col min="5890" max="5890" width="25.33203125" style="169" customWidth="1"/>
    <col min="5891" max="5891" width="27" style="169" customWidth="1"/>
    <col min="5892" max="5892" width="12" style="169" customWidth="1"/>
    <col min="5893" max="5893" width="13.6640625" style="169" customWidth="1"/>
    <col min="5894" max="6144" width="8.88671875" style="169"/>
    <col min="6145" max="6145" width="2.33203125" style="169" customWidth="1"/>
    <col min="6146" max="6146" width="25.33203125" style="169" customWidth="1"/>
    <col min="6147" max="6147" width="27" style="169" customWidth="1"/>
    <col min="6148" max="6148" width="12" style="169" customWidth="1"/>
    <col min="6149" max="6149" width="13.6640625" style="169" customWidth="1"/>
    <col min="6150" max="6400" width="8.88671875" style="169"/>
    <col min="6401" max="6401" width="2.33203125" style="169" customWidth="1"/>
    <col min="6402" max="6402" width="25.33203125" style="169" customWidth="1"/>
    <col min="6403" max="6403" width="27" style="169" customWidth="1"/>
    <col min="6404" max="6404" width="12" style="169" customWidth="1"/>
    <col min="6405" max="6405" width="13.6640625" style="169" customWidth="1"/>
    <col min="6406" max="6656" width="8.88671875" style="169"/>
    <col min="6657" max="6657" width="2.33203125" style="169" customWidth="1"/>
    <col min="6658" max="6658" width="25.33203125" style="169" customWidth="1"/>
    <col min="6659" max="6659" width="27" style="169" customWidth="1"/>
    <col min="6660" max="6660" width="12" style="169" customWidth="1"/>
    <col min="6661" max="6661" width="13.6640625" style="169" customWidth="1"/>
    <col min="6662" max="6912" width="8.88671875" style="169"/>
    <col min="6913" max="6913" width="2.33203125" style="169" customWidth="1"/>
    <col min="6914" max="6914" width="25.33203125" style="169" customWidth="1"/>
    <col min="6915" max="6915" width="27" style="169" customWidth="1"/>
    <col min="6916" max="6916" width="12" style="169" customWidth="1"/>
    <col min="6917" max="6917" width="13.6640625" style="169" customWidth="1"/>
    <col min="6918" max="7168" width="8.88671875" style="169"/>
    <col min="7169" max="7169" width="2.33203125" style="169" customWidth="1"/>
    <col min="7170" max="7170" width="25.33203125" style="169" customWidth="1"/>
    <col min="7171" max="7171" width="27" style="169" customWidth="1"/>
    <col min="7172" max="7172" width="12" style="169" customWidth="1"/>
    <col min="7173" max="7173" width="13.6640625" style="169" customWidth="1"/>
    <col min="7174" max="7424" width="8.88671875" style="169"/>
    <col min="7425" max="7425" width="2.33203125" style="169" customWidth="1"/>
    <col min="7426" max="7426" width="25.33203125" style="169" customWidth="1"/>
    <col min="7427" max="7427" width="27" style="169" customWidth="1"/>
    <col min="7428" max="7428" width="12" style="169" customWidth="1"/>
    <col min="7429" max="7429" width="13.6640625" style="169" customWidth="1"/>
    <col min="7430" max="7680" width="8.88671875" style="169"/>
    <col min="7681" max="7681" width="2.33203125" style="169" customWidth="1"/>
    <col min="7682" max="7682" width="25.33203125" style="169" customWidth="1"/>
    <col min="7683" max="7683" width="27" style="169" customWidth="1"/>
    <col min="7684" max="7684" width="12" style="169" customWidth="1"/>
    <col min="7685" max="7685" width="13.6640625" style="169" customWidth="1"/>
    <col min="7686" max="7936" width="8.88671875" style="169"/>
    <col min="7937" max="7937" width="2.33203125" style="169" customWidth="1"/>
    <col min="7938" max="7938" width="25.33203125" style="169" customWidth="1"/>
    <col min="7939" max="7939" width="27" style="169" customWidth="1"/>
    <col min="7940" max="7940" width="12" style="169" customWidth="1"/>
    <col min="7941" max="7941" width="13.6640625" style="169" customWidth="1"/>
    <col min="7942" max="8192" width="8.88671875" style="169"/>
    <col min="8193" max="8193" width="2.33203125" style="169" customWidth="1"/>
    <col min="8194" max="8194" width="25.33203125" style="169" customWidth="1"/>
    <col min="8195" max="8195" width="27" style="169" customWidth="1"/>
    <col min="8196" max="8196" width="12" style="169" customWidth="1"/>
    <col min="8197" max="8197" width="13.6640625" style="169" customWidth="1"/>
    <col min="8198" max="8448" width="8.88671875" style="169"/>
    <col min="8449" max="8449" width="2.33203125" style="169" customWidth="1"/>
    <col min="8450" max="8450" width="25.33203125" style="169" customWidth="1"/>
    <col min="8451" max="8451" width="27" style="169" customWidth="1"/>
    <col min="8452" max="8452" width="12" style="169" customWidth="1"/>
    <col min="8453" max="8453" width="13.6640625" style="169" customWidth="1"/>
    <col min="8454" max="8704" width="8.88671875" style="169"/>
    <col min="8705" max="8705" width="2.33203125" style="169" customWidth="1"/>
    <col min="8706" max="8706" width="25.33203125" style="169" customWidth="1"/>
    <col min="8707" max="8707" width="27" style="169" customWidth="1"/>
    <col min="8708" max="8708" width="12" style="169" customWidth="1"/>
    <col min="8709" max="8709" width="13.6640625" style="169" customWidth="1"/>
    <col min="8710" max="8960" width="8.88671875" style="169"/>
    <col min="8961" max="8961" width="2.33203125" style="169" customWidth="1"/>
    <col min="8962" max="8962" width="25.33203125" style="169" customWidth="1"/>
    <col min="8963" max="8963" width="27" style="169" customWidth="1"/>
    <col min="8964" max="8964" width="12" style="169" customWidth="1"/>
    <col min="8965" max="8965" width="13.6640625" style="169" customWidth="1"/>
    <col min="8966" max="9216" width="8.88671875" style="169"/>
    <col min="9217" max="9217" width="2.33203125" style="169" customWidth="1"/>
    <col min="9218" max="9218" width="25.33203125" style="169" customWidth="1"/>
    <col min="9219" max="9219" width="27" style="169" customWidth="1"/>
    <col min="9220" max="9220" width="12" style="169" customWidth="1"/>
    <col min="9221" max="9221" width="13.6640625" style="169" customWidth="1"/>
    <col min="9222" max="9472" width="8.88671875" style="169"/>
    <col min="9473" max="9473" width="2.33203125" style="169" customWidth="1"/>
    <col min="9474" max="9474" width="25.33203125" style="169" customWidth="1"/>
    <col min="9475" max="9475" width="27" style="169" customWidth="1"/>
    <col min="9476" max="9476" width="12" style="169" customWidth="1"/>
    <col min="9477" max="9477" width="13.6640625" style="169" customWidth="1"/>
    <col min="9478" max="9728" width="8.88671875" style="169"/>
    <col min="9729" max="9729" width="2.33203125" style="169" customWidth="1"/>
    <col min="9730" max="9730" width="25.33203125" style="169" customWidth="1"/>
    <col min="9731" max="9731" width="27" style="169" customWidth="1"/>
    <col min="9732" max="9732" width="12" style="169" customWidth="1"/>
    <col min="9733" max="9733" width="13.6640625" style="169" customWidth="1"/>
    <col min="9734" max="9984" width="8.88671875" style="169"/>
    <col min="9985" max="9985" width="2.33203125" style="169" customWidth="1"/>
    <col min="9986" max="9986" width="25.33203125" style="169" customWidth="1"/>
    <col min="9987" max="9987" width="27" style="169" customWidth="1"/>
    <col min="9988" max="9988" width="12" style="169" customWidth="1"/>
    <col min="9989" max="9989" width="13.6640625" style="169" customWidth="1"/>
    <col min="9990" max="10240" width="8.88671875" style="169"/>
    <col min="10241" max="10241" width="2.33203125" style="169" customWidth="1"/>
    <col min="10242" max="10242" width="25.33203125" style="169" customWidth="1"/>
    <col min="10243" max="10243" width="27" style="169" customWidth="1"/>
    <col min="10244" max="10244" width="12" style="169" customWidth="1"/>
    <col min="10245" max="10245" width="13.6640625" style="169" customWidth="1"/>
    <col min="10246" max="10496" width="8.88671875" style="169"/>
    <col min="10497" max="10497" width="2.33203125" style="169" customWidth="1"/>
    <col min="10498" max="10498" width="25.33203125" style="169" customWidth="1"/>
    <col min="10499" max="10499" width="27" style="169" customWidth="1"/>
    <col min="10500" max="10500" width="12" style="169" customWidth="1"/>
    <col min="10501" max="10501" width="13.6640625" style="169" customWidth="1"/>
    <col min="10502" max="10752" width="8.88671875" style="169"/>
    <col min="10753" max="10753" width="2.33203125" style="169" customWidth="1"/>
    <col min="10754" max="10754" width="25.33203125" style="169" customWidth="1"/>
    <col min="10755" max="10755" width="27" style="169" customWidth="1"/>
    <col min="10756" max="10756" width="12" style="169" customWidth="1"/>
    <col min="10757" max="10757" width="13.6640625" style="169" customWidth="1"/>
    <col min="10758" max="11008" width="8.88671875" style="169"/>
    <col min="11009" max="11009" width="2.33203125" style="169" customWidth="1"/>
    <col min="11010" max="11010" width="25.33203125" style="169" customWidth="1"/>
    <col min="11011" max="11011" width="27" style="169" customWidth="1"/>
    <col min="11012" max="11012" width="12" style="169" customWidth="1"/>
    <col min="11013" max="11013" width="13.6640625" style="169" customWidth="1"/>
    <col min="11014" max="11264" width="8.88671875" style="169"/>
    <col min="11265" max="11265" width="2.33203125" style="169" customWidth="1"/>
    <col min="11266" max="11266" width="25.33203125" style="169" customWidth="1"/>
    <col min="11267" max="11267" width="27" style="169" customWidth="1"/>
    <col min="11268" max="11268" width="12" style="169" customWidth="1"/>
    <col min="11269" max="11269" width="13.6640625" style="169" customWidth="1"/>
    <col min="11270" max="11520" width="8.88671875" style="169"/>
    <col min="11521" max="11521" width="2.33203125" style="169" customWidth="1"/>
    <col min="11522" max="11522" width="25.33203125" style="169" customWidth="1"/>
    <col min="11523" max="11523" width="27" style="169" customWidth="1"/>
    <col min="11524" max="11524" width="12" style="169" customWidth="1"/>
    <col min="11525" max="11525" width="13.6640625" style="169" customWidth="1"/>
    <col min="11526" max="11776" width="8.88671875" style="169"/>
    <col min="11777" max="11777" width="2.33203125" style="169" customWidth="1"/>
    <col min="11778" max="11778" width="25.33203125" style="169" customWidth="1"/>
    <col min="11779" max="11779" width="27" style="169" customWidth="1"/>
    <col min="11780" max="11780" width="12" style="169" customWidth="1"/>
    <col min="11781" max="11781" width="13.6640625" style="169" customWidth="1"/>
    <col min="11782" max="12032" width="8.88671875" style="169"/>
    <col min="12033" max="12033" width="2.33203125" style="169" customWidth="1"/>
    <col min="12034" max="12034" width="25.33203125" style="169" customWidth="1"/>
    <col min="12035" max="12035" width="27" style="169" customWidth="1"/>
    <col min="12036" max="12036" width="12" style="169" customWidth="1"/>
    <col min="12037" max="12037" width="13.6640625" style="169" customWidth="1"/>
    <col min="12038" max="12288" width="8.88671875" style="169"/>
    <col min="12289" max="12289" width="2.33203125" style="169" customWidth="1"/>
    <col min="12290" max="12290" width="25.33203125" style="169" customWidth="1"/>
    <col min="12291" max="12291" width="27" style="169" customWidth="1"/>
    <col min="12292" max="12292" width="12" style="169" customWidth="1"/>
    <col min="12293" max="12293" width="13.6640625" style="169" customWidth="1"/>
    <col min="12294" max="12544" width="8.88671875" style="169"/>
    <col min="12545" max="12545" width="2.33203125" style="169" customWidth="1"/>
    <col min="12546" max="12546" width="25.33203125" style="169" customWidth="1"/>
    <col min="12547" max="12547" width="27" style="169" customWidth="1"/>
    <col min="12548" max="12548" width="12" style="169" customWidth="1"/>
    <col min="12549" max="12549" width="13.6640625" style="169" customWidth="1"/>
    <col min="12550" max="12800" width="8.88671875" style="169"/>
    <col min="12801" max="12801" width="2.33203125" style="169" customWidth="1"/>
    <col min="12802" max="12802" width="25.33203125" style="169" customWidth="1"/>
    <col min="12803" max="12803" width="27" style="169" customWidth="1"/>
    <col min="12804" max="12804" width="12" style="169" customWidth="1"/>
    <col min="12805" max="12805" width="13.6640625" style="169" customWidth="1"/>
    <col min="12806" max="13056" width="8.88671875" style="169"/>
    <col min="13057" max="13057" width="2.33203125" style="169" customWidth="1"/>
    <col min="13058" max="13058" width="25.33203125" style="169" customWidth="1"/>
    <col min="13059" max="13059" width="27" style="169" customWidth="1"/>
    <col min="13060" max="13060" width="12" style="169" customWidth="1"/>
    <col min="13061" max="13061" width="13.6640625" style="169" customWidth="1"/>
    <col min="13062" max="13312" width="8.88671875" style="169"/>
    <col min="13313" max="13313" width="2.33203125" style="169" customWidth="1"/>
    <col min="13314" max="13314" width="25.33203125" style="169" customWidth="1"/>
    <col min="13315" max="13315" width="27" style="169" customWidth="1"/>
    <col min="13316" max="13316" width="12" style="169" customWidth="1"/>
    <col min="13317" max="13317" width="13.6640625" style="169" customWidth="1"/>
    <col min="13318" max="13568" width="8.88671875" style="169"/>
    <col min="13569" max="13569" width="2.33203125" style="169" customWidth="1"/>
    <col min="13570" max="13570" width="25.33203125" style="169" customWidth="1"/>
    <col min="13571" max="13571" width="27" style="169" customWidth="1"/>
    <col min="13572" max="13572" width="12" style="169" customWidth="1"/>
    <col min="13573" max="13573" width="13.6640625" style="169" customWidth="1"/>
    <col min="13574" max="13824" width="8.88671875" style="169"/>
    <col min="13825" max="13825" width="2.33203125" style="169" customWidth="1"/>
    <col min="13826" max="13826" width="25.33203125" style="169" customWidth="1"/>
    <col min="13827" max="13827" width="27" style="169" customWidth="1"/>
    <col min="13828" max="13828" width="12" style="169" customWidth="1"/>
    <col min="13829" max="13829" width="13.6640625" style="169" customWidth="1"/>
    <col min="13830" max="14080" width="8.88671875" style="169"/>
    <col min="14081" max="14081" width="2.33203125" style="169" customWidth="1"/>
    <col min="14082" max="14082" width="25.33203125" style="169" customWidth="1"/>
    <col min="14083" max="14083" width="27" style="169" customWidth="1"/>
    <col min="14084" max="14084" width="12" style="169" customWidth="1"/>
    <col min="14085" max="14085" width="13.6640625" style="169" customWidth="1"/>
    <col min="14086" max="14336" width="8.88671875" style="169"/>
    <col min="14337" max="14337" width="2.33203125" style="169" customWidth="1"/>
    <col min="14338" max="14338" width="25.33203125" style="169" customWidth="1"/>
    <col min="14339" max="14339" width="27" style="169" customWidth="1"/>
    <col min="14340" max="14340" width="12" style="169" customWidth="1"/>
    <col min="14341" max="14341" width="13.6640625" style="169" customWidth="1"/>
    <col min="14342" max="14592" width="8.88671875" style="169"/>
    <col min="14593" max="14593" width="2.33203125" style="169" customWidth="1"/>
    <col min="14594" max="14594" width="25.33203125" style="169" customWidth="1"/>
    <col min="14595" max="14595" width="27" style="169" customWidth="1"/>
    <col min="14596" max="14596" width="12" style="169" customWidth="1"/>
    <col min="14597" max="14597" width="13.6640625" style="169" customWidth="1"/>
    <col min="14598" max="14848" width="8.88671875" style="169"/>
    <col min="14849" max="14849" width="2.33203125" style="169" customWidth="1"/>
    <col min="14850" max="14850" width="25.33203125" style="169" customWidth="1"/>
    <col min="14851" max="14851" width="27" style="169" customWidth="1"/>
    <col min="14852" max="14852" width="12" style="169" customWidth="1"/>
    <col min="14853" max="14853" width="13.6640625" style="169" customWidth="1"/>
    <col min="14854" max="15104" width="8.88671875" style="169"/>
    <col min="15105" max="15105" width="2.33203125" style="169" customWidth="1"/>
    <col min="15106" max="15106" width="25.33203125" style="169" customWidth="1"/>
    <col min="15107" max="15107" width="27" style="169" customWidth="1"/>
    <col min="15108" max="15108" width="12" style="169" customWidth="1"/>
    <col min="15109" max="15109" width="13.6640625" style="169" customWidth="1"/>
    <col min="15110" max="15360" width="8.88671875" style="169"/>
    <col min="15361" max="15361" width="2.33203125" style="169" customWidth="1"/>
    <col min="15362" max="15362" width="25.33203125" style="169" customWidth="1"/>
    <col min="15363" max="15363" width="27" style="169" customWidth="1"/>
    <col min="15364" max="15364" width="12" style="169" customWidth="1"/>
    <col min="15365" max="15365" width="13.6640625" style="169" customWidth="1"/>
    <col min="15366" max="15616" width="8.88671875" style="169"/>
    <col min="15617" max="15617" width="2.33203125" style="169" customWidth="1"/>
    <col min="15618" max="15618" width="25.33203125" style="169" customWidth="1"/>
    <col min="15619" max="15619" width="27" style="169" customWidth="1"/>
    <col min="15620" max="15620" width="12" style="169" customWidth="1"/>
    <col min="15621" max="15621" width="13.6640625" style="169" customWidth="1"/>
    <col min="15622" max="15872" width="8.88671875" style="169"/>
    <col min="15873" max="15873" width="2.33203125" style="169" customWidth="1"/>
    <col min="15874" max="15874" width="25.33203125" style="169" customWidth="1"/>
    <col min="15875" max="15875" width="27" style="169" customWidth="1"/>
    <col min="15876" max="15876" width="12" style="169" customWidth="1"/>
    <col min="15877" max="15877" width="13.6640625" style="169" customWidth="1"/>
    <col min="15878" max="16128" width="8.88671875" style="169"/>
    <col min="16129" max="16129" width="2.33203125" style="169" customWidth="1"/>
    <col min="16130" max="16130" width="25.33203125" style="169" customWidth="1"/>
    <col min="16131" max="16131" width="27" style="169" customWidth="1"/>
    <col min="16132" max="16132" width="12" style="169" customWidth="1"/>
    <col min="16133" max="16133" width="13.6640625" style="169" customWidth="1"/>
    <col min="16134" max="16384" width="8.88671875" style="169"/>
  </cols>
  <sheetData>
    <row r="1" spans="2:10" x14ac:dyDescent="0.2">
      <c r="B1" s="224" t="s">
        <v>360</v>
      </c>
    </row>
    <row r="2" spans="2:10" ht="13.5" thickBot="1" x14ac:dyDescent="0.25"/>
    <row r="3" spans="2:10" ht="32.25" thickBot="1" x14ac:dyDescent="0.25">
      <c r="B3" s="170" t="s">
        <v>147</v>
      </c>
      <c r="C3" s="171" t="s">
        <v>148</v>
      </c>
      <c r="D3" s="171" t="s">
        <v>149</v>
      </c>
      <c r="E3" s="171" t="s">
        <v>150</v>
      </c>
    </row>
    <row r="4" spans="2:10" ht="15.75" thickBot="1" x14ac:dyDescent="0.25">
      <c r="B4" s="539" t="s">
        <v>151</v>
      </c>
      <c r="C4" s="540"/>
      <c r="D4" s="540"/>
      <c r="E4" s="541"/>
    </row>
    <row r="5" spans="2:10" ht="30.75" thickBot="1" x14ac:dyDescent="0.25">
      <c r="B5" s="172" t="s">
        <v>152</v>
      </c>
      <c r="C5" s="173" t="s">
        <v>315</v>
      </c>
      <c r="D5" s="174">
        <v>125000</v>
      </c>
      <c r="E5" s="175" t="s">
        <v>154</v>
      </c>
      <c r="F5" s="223"/>
    </row>
    <row r="6" spans="2:10" ht="15.75" thickBot="1" x14ac:dyDescent="0.25">
      <c r="B6" s="172" t="s">
        <v>155</v>
      </c>
      <c r="C6" s="175" t="s">
        <v>156</v>
      </c>
      <c r="D6" s="305"/>
      <c r="E6" s="175" t="s">
        <v>161</v>
      </c>
      <c r="F6" s="223" t="s">
        <v>313</v>
      </c>
    </row>
    <row r="7" spans="2:10" ht="15.75" thickBot="1" x14ac:dyDescent="0.25">
      <c r="B7" s="542" t="s">
        <v>157</v>
      </c>
      <c r="C7" s="543"/>
      <c r="D7" s="543"/>
      <c r="E7" s="544"/>
      <c r="I7" s="294">
        <f>D5+D8+D9+D11+D12+D13+D14+D15+D17+D18+D20+D21</f>
        <v>459018</v>
      </c>
      <c r="J7" s="223" t="s">
        <v>45</v>
      </c>
    </row>
    <row r="8" spans="2:10" ht="30.75" thickBot="1" x14ac:dyDescent="0.25">
      <c r="B8" s="177" t="s">
        <v>314</v>
      </c>
      <c r="C8" s="173" t="s">
        <v>153</v>
      </c>
      <c r="D8" s="174">
        <v>26000</v>
      </c>
      <c r="E8" s="175" t="s">
        <v>295</v>
      </c>
      <c r="F8" s="223" t="s">
        <v>296</v>
      </c>
      <c r="I8" s="294">
        <f>35310+D8+D9+D11+D12+D14+D15</f>
        <v>220297</v>
      </c>
      <c r="J8" s="223" t="s">
        <v>299</v>
      </c>
    </row>
    <row r="9" spans="2:10" ht="15.75" thickBot="1" x14ac:dyDescent="0.25">
      <c r="B9" s="308" t="s">
        <v>293</v>
      </c>
      <c r="C9" s="309" t="s">
        <v>294</v>
      </c>
      <c r="D9" s="310">
        <v>40000</v>
      </c>
      <c r="E9" s="293" t="s">
        <v>160</v>
      </c>
      <c r="I9" s="294">
        <f>D17+D18+89690</f>
        <v>157150</v>
      </c>
      <c r="J9" s="223" t="s">
        <v>291</v>
      </c>
    </row>
    <row r="10" spans="2:10" ht="30" customHeight="1" thickBot="1" x14ac:dyDescent="0.25">
      <c r="B10" s="545" t="s">
        <v>158</v>
      </c>
      <c r="C10" s="546"/>
      <c r="D10" s="546"/>
      <c r="E10" s="547"/>
    </row>
    <row r="11" spans="2:10" ht="15.75" thickBot="1" x14ac:dyDescent="0.25">
      <c r="B11" s="178" t="s">
        <v>159</v>
      </c>
      <c r="C11" s="173" t="s">
        <v>153</v>
      </c>
      <c r="D11" s="302">
        <v>38079</v>
      </c>
      <c r="E11" s="175" t="s">
        <v>160</v>
      </c>
      <c r="F11" s="223" t="s">
        <v>131</v>
      </c>
    </row>
    <row r="12" spans="2:10" ht="15" x14ac:dyDescent="0.2">
      <c r="B12" s="548" t="s">
        <v>125</v>
      </c>
      <c r="C12" s="179" t="s">
        <v>153</v>
      </c>
      <c r="D12" s="303">
        <v>16061</v>
      </c>
      <c r="E12" s="550" t="s">
        <v>160</v>
      </c>
      <c r="F12" s="223" t="s">
        <v>130</v>
      </c>
    </row>
    <row r="13" spans="2:10" ht="15.75" thickBot="1" x14ac:dyDescent="0.25">
      <c r="B13" s="549"/>
      <c r="C13" s="173" t="s">
        <v>162</v>
      </c>
      <c r="D13" s="174">
        <v>13000</v>
      </c>
      <c r="E13" s="551"/>
    </row>
    <row r="14" spans="2:10" ht="30.75" thickBot="1" x14ac:dyDescent="0.25">
      <c r="B14" s="178" t="s">
        <v>305</v>
      </c>
      <c r="C14" s="173" t="s">
        <v>153</v>
      </c>
      <c r="D14" s="174">
        <v>22847</v>
      </c>
      <c r="E14" s="175" t="s">
        <v>160</v>
      </c>
      <c r="F14" s="223" t="s">
        <v>298</v>
      </c>
    </row>
    <row r="15" spans="2:10" ht="15.75" thickBot="1" x14ac:dyDescent="0.25">
      <c r="B15" s="298" t="s">
        <v>316</v>
      </c>
      <c r="C15" s="179" t="s">
        <v>153</v>
      </c>
      <c r="D15" s="304">
        <v>42000</v>
      </c>
      <c r="E15" s="299" t="s">
        <v>161</v>
      </c>
    </row>
    <row r="16" spans="2:10" ht="15.75" thickBot="1" x14ac:dyDescent="0.25">
      <c r="B16" s="552" t="s">
        <v>163</v>
      </c>
      <c r="C16" s="553"/>
      <c r="D16" s="553"/>
      <c r="E16" s="554"/>
    </row>
    <row r="17" spans="2:6" ht="15.75" thickBot="1" x14ac:dyDescent="0.25">
      <c r="B17" s="180" t="s">
        <v>164</v>
      </c>
      <c r="C17" s="181" t="s">
        <v>165</v>
      </c>
      <c r="D17" s="182">
        <v>10849</v>
      </c>
      <c r="E17" s="175" t="s">
        <v>160</v>
      </c>
    </row>
    <row r="18" spans="2:6" ht="15.75" thickBot="1" x14ac:dyDescent="0.25">
      <c r="B18" s="180" t="s">
        <v>166</v>
      </c>
      <c r="C18" s="181" t="s">
        <v>165</v>
      </c>
      <c r="D18" s="182">
        <v>56611</v>
      </c>
      <c r="E18" s="175" t="s">
        <v>160</v>
      </c>
    </row>
    <row r="19" spans="2:6" ht="15.75" thickBot="1" x14ac:dyDescent="0.25">
      <c r="B19" s="555" t="s">
        <v>167</v>
      </c>
      <c r="C19" s="556"/>
      <c r="D19" s="556"/>
      <c r="E19" s="557"/>
    </row>
    <row r="20" spans="2:6" ht="15.75" thickBot="1" x14ac:dyDescent="0.25">
      <c r="B20" s="183" t="s">
        <v>168</v>
      </c>
      <c r="C20" s="306" t="s">
        <v>312</v>
      </c>
      <c r="D20" s="176">
        <v>44402</v>
      </c>
      <c r="E20" s="175" t="s">
        <v>160</v>
      </c>
      <c r="F20" s="223" t="s">
        <v>297</v>
      </c>
    </row>
    <row r="21" spans="2:6" ht="15.75" thickBot="1" x14ac:dyDescent="0.25">
      <c r="B21" s="183" t="s">
        <v>170</v>
      </c>
      <c r="C21" s="175" t="s">
        <v>169</v>
      </c>
      <c r="D21" s="305">
        <v>24169</v>
      </c>
      <c r="E21" s="175" t="s">
        <v>160</v>
      </c>
      <c r="F21" s="223" t="s">
        <v>222</v>
      </c>
    </row>
    <row r="22" spans="2:6" ht="30.75" thickBot="1" x14ac:dyDescent="0.25">
      <c r="B22" s="183" t="s">
        <v>170</v>
      </c>
      <c r="C22" s="184" t="s">
        <v>171</v>
      </c>
      <c r="D22" s="175"/>
      <c r="E22" s="175" t="s">
        <v>161</v>
      </c>
    </row>
    <row r="23" spans="2:6" ht="15.75" thickBot="1" x14ac:dyDescent="0.25">
      <c r="B23" s="183" t="s">
        <v>172</v>
      </c>
      <c r="C23" s="181" t="s">
        <v>173</v>
      </c>
      <c r="D23" s="181"/>
      <c r="E23" s="175" t="s">
        <v>160</v>
      </c>
    </row>
    <row r="24" spans="2:6" ht="15.75" thickBot="1" x14ac:dyDescent="0.25">
      <c r="B24" s="558" t="s">
        <v>35</v>
      </c>
      <c r="C24" s="559"/>
      <c r="D24" s="559"/>
      <c r="E24" s="560"/>
    </row>
    <row r="25" spans="2:6" ht="15.75" thickBot="1" x14ac:dyDescent="0.25">
      <c r="B25" s="185" t="s">
        <v>174</v>
      </c>
      <c r="C25" s="181" t="s">
        <v>175</v>
      </c>
      <c r="D25" s="181" t="s">
        <v>176</v>
      </c>
      <c r="E25" s="175" t="s">
        <v>160</v>
      </c>
    </row>
    <row r="26" spans="2:6" ht="15.75" thickBot="1" x14ac:dyDescent="0.25">
      <c r="B26" s="552" t="s">
        <v>177</v>
      </c>
      <c r="C26" s="553"/>
      <c r="D26" s="553"/>
      <c r="E26" s="554"/>
    </row>
    <row r="27" spans="2:6" ht="15.75" thickBot="1" x14ac:dyDescent="0.25">
      <c r="B27" s="180" t="s">
        <v>178</v>
      </c>
      <c r="C27" s="181" t="s">
        <v>179</v>
      </c>
      <c r="D27" s="181"/>
      <c r="E27" s="175" t="s">
        <v>160</v>
      </c>
    </row>
    <row r="28" spans="2:6" ht="15.75" thickBot="1" x14ac:dyDescent="0.25">
      <c r="B28" s="180" t="s">
        <v>180</v>
      </c>
      <c r="C28" s="181" t="s">
        <v>181</v>
      </c>
      <c r="D28" s="181"/>
      <c r="E28" s="175" t="s">
        <v>160</v>
      </c>
    </row>
    <row r="29" spans="2:6" ht="15.75" thickBot="1" x14ac:dyDescent="0.25">
      <c r="B29" s="180" t="s">
        <v>182</v>
      </c>
      <c r="C29" s="181" t="s">
        <v>183</v>
      </c>
      <c r="D29" s="181"/>
      <c r="E29" s="175" t="s">
        <v>160</v>
      </c>
    </row>
    <row r="30" spans="2:6" ht="15.75" thickBot="1" x14ac:dyDescent="0.25">
      <c r="B30" s="186"/>
      <c r="C30" s="187" t="s">
        <v>184</v>
      </c>
      <c r="D30" s="188">
        <f>D5+D8+D9+D11+D12+D13+D14+D15+D17+D18+D20+D21</f>
        <v>459018</v>
      </c>
      <c r="E30" s="175"/>
    </row>
    <row r="31" spans="2:6" ht="15" x14ac:dyDescent="0.2">
      <c r="B31" s="189"/>
      <c r="C31" s="190"/>
      <c r="D31" s="191"/>
      <c r="E31" s="550"/>
    </row>
    <row r="32" spans="2:6" ht="15" x14ac:dyDescent="0.2">
      <c r="B32" s="189" t="s">
        <v>185</v>
      </c>
      <c r="C32" s="190" t="s">
        <v>153</v>
      </c>
      <c r="D32" s="192">
        <f>D8+D9+D11+D12+D14+D15+35310</f>
        <v>220297</v>
      </c>
      <c r="E32" s="561"/>
    </row>
    <row r="33" spans="2:5" ht="15" x14ac:dyDescent="0.2">
      <c r="B33" s="193"/>
      <c r="C33" s="190" t="s">
        <v>186</v>
      </c>
      <c r="D33" s="192">
        <v>24169</v>
      </c>
      <c r="E33" s="561"/>
    </row>
    <row r="34" spans="2:5" ht="15" x14ac:dyDescent="0.2">
      <c r="B34" s="193"/>
      <c r="C34" s="190" t="s">
        <v>312</v>
      </c>
      <c r="D34" s="192">
        <v>44402</v>
      </c>
      <c r="E34" s="561"/>
    </row>
    <row r="35" spans="2:5" ht="15" x14ac:dyDescent="0.2">
      <c r="B35" s="193"/>
      <c r="C35" s="190" t="s">
        <v>165</v>
      </c>
      <c r="D35" s="192">
        <f>89690+D17+D18</f>
        <v>157150</v>
      </c>
      <c r="E35" s="561"/>
    </row>
    <row r="36" spans="2:5" ht="15" x14ac:dyDescent="0.2">
      <c r="B36" s="193"/>
      <c r="C36" s="190" t="s">
        <v>187</v>
      </c>
      <c r="D36" s="192">
        <v>13000</v>
      </c>
      <c r="E36" s="561"/>
    </row>
    <row r="37" spans="2:5" ht="15" x14ac:dyDescent="0.2">
      <c r="B37" s="193"/>
      <c r="C37" s="194"/>
      <c r="D37" s="191" t="s">
        <v>188</v>
      </c>
      <c r="E37" s="561"/>
    </row>
    <row r="38" spans="2:5" ht="15.75" thickBot="1" x14ac:dyDescent="0.25">
      <c r="B38" s="195"/>
      <c r="C38" s="196"/>
      <c r="D38" s="188">
        <f>SUM(D32:D37)</f>
        <v>459018</v>
      </c>
      <c r="E38" s="551"/>
    </row>
  </sheetData>
  <mergeCells count="10">
    <mergeCell ref="B16:E16"/>
    <mergeCell ref="B19:E19"/>
    <mergeCell ref="B24:E24"/>
    <mergeCell ref="B26:E26"/>
    <mergeCell ref="E31:E38"/>
    <mergeCell ref="B4:E4"/>
    <mergeCell ref="B7:E7"/>
    <mergeCell ref="B10:E10"/>
    <mergeCell ref="B12:B13"/>
    <mergeCell ref="E12:E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0392A-7A8C-4D18-9135-6D1EB4F0A92F}">
  <sheetPr>
    <tabColor rgb="FFFF0000"/>
  </sheetPr>
  <dimension ref="A1:O88"/>
  <sheetViews>
    <sheetView tabSelected="1" zoomScale="110" zoomScaleNormal="110" workbookViewId="0">
      <selection activeCell="F2" sqref="F2"/>
    </sheetView>
  </sheetViews>
  <sheetFormatPr defaultRowHeight="15.75" x14ac:dyDescent="0.25"/>
  <cols>
    <col min="1" max="1" width="2.77734375" style="197" customWidth="1"/>
    <col min="2" max="2" width="19.21875" style="197" customWidth="1"/>
    <col min="3" max="3" width="12.6640625" style="197" customWidth="1"/>
    <col min="4" max="4" width="11.6640625" style="197" customWidth="1"/>
    <col min="5" max="5" width="10.21875" style="212" bestFit="1" customWidth="1"/>
    <col min="6" max="6" width="10" style="217" bestFit="1" customWidth="1"/>
    <col min="7" max="7" width="2.5546875" style="198" customWidth="1"/>
    <col min="8" max="8" width="7.21875" style="197" customWidth="1"/>
    <col min="9" max="9" width="10.21875" style="197" bestFit="1" customWidth="1"/>
    <col min="10" max="10" width="8.88671875" style="197"/>
    <col min="11" max="11" width="10.21875" style="197" bestFit="1" customWidth="1"/>
    <col min="12" max="13" width="8.88671875" style="197"/>
    <col min="14" max="14" width="11.109375" style="197" customWidth="1"/>
    <col min="15" max="261" width="8.88671875" style="197"/>
    <col min="262" max="262" width="8.77734375" style="197" bestFit="1" customWidth="1"/>
    <col min="263" max="517" width="8.88671875" style="197"/>
    <col min="518" max="518" width="8.77734375" style="197" bestFit="1" customWidth="1"/>
    <col min="519" max="773" width="8.88671875" style="197"/>
    <col min="774" max="774" width="8.77734375" style="197" bestFit="1" customWidth="1"/>
    <col min="775" max="1029" width="8.88671875" style="197"/>
    <col min="1030" max="1030" width="8.77734375" style="197" bestFit="1" customWidth="1"/>
    <col min="1031" max="1285" width="8.88671875" style="197"/>
    <col min="1286" max="1286" width="8.77734375" style="197" bestFit="1" customWidth="1"/>
    <col min="1287" max="1541" width="8.88671875" style="197"/>
    <col min="1542" max="1542" width="8.77734375" style="197" bestFit="1" customWidth="1"/>
    <col min="1543" max="1797" width="8.88671875" style="197"/>
    <col min="1798" max="1798" width="8.77734375" style="197" bestFit="1" customWidth="1"/>
    <col min="1799" max="2053" width="8.88671875" style="197"/>
    <col min="2054" max="2054" width="8.77734375" style="197" bestFit="1" customWidth="1"/>
    <col min="2055" max="2309" width="8.88671875" style="197"/>
    <col min="2310" max="2310" width="8.77734375" style="197" bestFit="1" customWidth="1"/>
    <col min="2311" max="2565" width="8.88671875" style="197"/>
    <col min="2566" max="2566" width="8.77734375" style="197" bestFit="1" customWidth="1"/>
    <col min="2567" max="2821" width="8.88671875" style="197"/>
    <col min="2822" max="2822" width="8.77734375" style="197" bestFit="1" customWidth="1"/>
    <col min="2823" max="3077" width="8.88671875" style="197"/>
    <col min="3078" max="3078" width="8.77734375" style="197" bestFit="1" customWidth="1"/>
    <col min="3079" max="3333" width="8.88671875" style="197"/>
    <col min="3334" max="3334" width="8.77734375" style="197" bestFit="1" customWidth="1"/>
    <col min="3335" max="3589" width="8.88671875" style="197"/>
    <col min="3590" max="3590" width="8.77734375" style="197" bestFit="1" customWidth="1"/>
    <col min="3591" max="3845" width="8.88671875" style="197"/>
    <col min="3846" max="3846" width="8.77734375" style="197" bestFit="1" customWidth="1"/>
    <col min="3847" max="4101" width="8.88671875" style="197"/>
    <col min="4102" max="4102" width="8.77734375" style="197" bestFit="1" customWidth="1"/>
    <col min="4103" max="4357" width="8.88671875" style="197"/>
    <col min="4358" max="4358" width="8.77734375" style="197" bestFit="1" customWidth="1"/>
    <col min="4359" max="4613" width="8.88671875" style="197"/>
    <col min="4614" max="4614" width="8.77734375" style="197" bestFit="1" customWidth="1"/>
    <col min="4615" max="4869" width="8.88671875" style="197"/>
    <col min="4870" max="4870" width="8.77734375" style="197" bestFit="1" customWidth="1"/>
    <col min="4871" max="5125" width="8.88671875" style="197"/>
    <col min="5126" max="5126" width="8.77734375" style="197" bestFit="1" customWidth="1"/>
    <col min="5127" max="5381" width="8.88671875" style="197"/>
    <col min="5382" max="5382" width="8.77734375" style="197" bestFit="1" customWidth="1"/>
    <col min="5383" max="5637" width="8.88671875" style="197"/>
    <col min="5638" max="5638" width="8.77734375" style="197" bestFit="1" customWidth="1"/>
    <col min="5639" max="5893" width="8.88671875" style="197"/>
    <col min="5894" max="5894" width="8.77734375" style="197" bestFit="1" customWidth="1"/>
    <col min="5895" max="6149" width="8.88671875" style="197"/>
    <col min="6150" max="6150" width="8.77734375" style="197" bestFit="1" customWidth="1"/>
    <col min="6151" max="6405" width="8.88671875" style="197"/>
    <col min="6406" max="6406" width="8.77734375" style="197" bestFit="1" customWidth="1"/>
    <col min="6407" max="6661" width="8.88671875" style="197"/>
    <col min="6662" max="6662" width="8.77734375" style="197" bestFit="1" customWidth="1"/>
    <col min="6663" max="6917" width="8.88671875" style="197"/>
    <col min="6918" max="6918" width="8.77734375" style="197" bestFit="1" customWidth="1"/>
    <col min="6919" max="7173" width="8.88671875" style="197"/>
    <col min="7174" max="7174" width="8.77734375" style="197" bestFit="1" customWidth="1"/>
    <col min="7175" max="7429" width="8.88671875" style="197"/>
    <col min="7430" max="7430" width="8.77734375" style="197" bestFit="1" customWidth="1"/>
    <col min="7431" max="7685" width="8.88671875" style="197"/>
    <col min="7686" max="7686" width="8.77734375" style="197" bestFit="1" customWidth="1"/>
    <col min="7687" max="7941" width="8.88671875" style="197"/>
    <col min="7942" max="7942" width="8.77734375" style="197" bestFit="1" customWidth="1"/>
    <col min="7943" max="8197" width="8.88671875" style="197"/>
    <col min="8198" max="8198" width="8.77734375" style="197" bestFit="1" customWidth="1"/>
    <col min="8199" max="8453" width="8.88671875" style="197"/>
    <col min="8454" max="8454" width="8.77734375" style="197" bestFit="1" customWidth="1"/>
    <col min="8455" max="8709" width="8.88671875" style="197"/>
    <col min="8710" max="8710" width="8.77734375" style="197" bestFit="1" customWidth="1"/>
    <col min="8711" max="8965" width="8.88671875" style="197"/>
    <col min="8966" max="8966" width="8.77734375" style="197" bestFit="1" customWidth="1"/>
    <col min="8967" max="9221" width="8.88671875" style="197"/>
    <col min="9222" max="9222" width="8.77734375" style="197" bestFit="1" customWidth="1"/>
    <col min="9223" max="9477" width="8.88671875" style="197"/>
    <col min="9478" max="9478" width="8.77734375" style="197" bestFit="1" customWidth="1"/>
    <col min="9479" max="9733" width="8.88671875" style="197"/>
    <col min="9734" max="9734" width="8.77734375" style="197" bestFit="1" customWidth="1"/>
    <col min="9735" max="9989" width="8.88671875" style="197"/>
    <col min="9990" max="9990" width="8.77734375" style="197" bestFit="1" customWidth="1"/>
    <col min="9991" max="10245" width="8.88671875" style="197"/>
    <col min="10246" max="10246" width="8.77734375" style="197" bestFit="1" customWidth="1"/>
    <col min="10247" max="10501" width="8.88671875" style="197"/>
    <col min="10502" max="10502" width="8.77734375" style="197" bestFit="1" customWidth="1"/>
    <col min="10503" max="10757" width="8.88671875" style="197"/>
    <col min="10758" max="10758" width="8.77734375" style="197" bestFit="1" customWidth="1"/>
    <col min="10759" max="11013" width="8.88671875" style="197"/>
    <col min="11014" max="11014" width="8.77734375" style="197" bestFit="1" customWidth="1"/>
    <col min="11015" max="11269" width="8.88671875" style="197"/>
    <col min="11270" max="11270" width="8.77734375" style="197" bestFit="1" customWidth="1"/>
    <col min="11271" max="11525" width="8.88671875" style="197"/>
    <col min="11526" max="11526" width="8.77734375" style="197" bestFit="1" customWidth="1"/>
    <col min="11527" max="11781" width="8.88671875" style="197"/>
    <col min="11782" max="11782" width="8.77734375" style="197" bestFit="1" customWidth="1"/>
    <col min="11783" max="12037" width="8.88671875" style="197"/>
    <col min="12038" max="12038" width="8.77734375" style="197" bestFit="1" customWidth="1"/>
    <col min="12039" max="12293" width="8.88671875" style="197"/>
    <col min="12294" max="12294" width="8.77734375" style="197" bestFit="1" customWidth="1"/>
    <col min="12295" max="12549" width="8.88671875" style="197"/>
    <col min="12550" max="12550" width="8.77734375" style="197" bestFit="1" customWidth="1"/>
    <col min="12551" max="12805" width="8.88671875" style="197"/>
    <col min="12806" max="12806" width="8.77734375" style="197" bestFit="1" customWidth="1"/>
    <col min="12807" max="13061" width="8.88671875" style="197"/>
    <col min="13062" max="13062" width="8.77734375" style="197" bestFit="1" customWidth="1"/>
    <col min="13063" max="13317" width="8.88671875" style="197"/>
    <col min="13318" max="13318" width="8.77734375" style="197" bestFit="1" customWidth="1"/>
    <col min="13319" max="13573" width="8.88671875" style="197"/>
    <col min="13574" max="13574" width="8.77734375" style="197" bestFit="1" customWidth="1"/>
    <col min="13575" max="13829" width="8.88671875" style="197"/>
    <col min="13830" max="13830" width="8.77734375" style="197" bestFit="1" customWidth="1"/>
    <col min="13831" max="14085" width="8.88671875" style="197"/>
    <col min="14086" max="14086" width="8.77734375" style="197" bestFit="1" customWidth="1"/>
    <col min="14087" max="14341" width="8.88671875" style="197"/>
    <col min="14342" max="14342" width="8.77734375" style="197" bestFit="1" customWidth="1"/>
    <col min="14343" max="14597" width="8.88671875" style="197"/>
    <col min="14598" max="14598" width="8.77734375" style="197" bestFit="1" customWidth="1"/>
    <col min="14599" max="14853" width="8.88671875" style="197"/>
    <col min="14854" max="14854" width="8.77734375" style="197" bestFit="1" customWidth="1"/>
    <col min="14855" max="15109" width="8.88671875" style="197"/>
    <col min="15110" max="15110" width="8.77734375" style="197" bestFit="1" customWidth="1"/>
    <col min="15111" max="15365" width="8.88671875" style="197"/>
    <col min="15366" max="15366" width="8.77734375" style="197" bestFit="1" customWidth="1"/>
    <col min="15367" max="15621" width="8.88671875" style="197"/>
    <col min="15622" max="15622" width="8.77734375" style="197" bestFit="1" customWidth="1"/>
    <col min="15623" max="15877" width="8.88671875" style="197"/>
    <col min="15878" max="15878" width="8.77734375" style="197" bestFit="1" customWidth="1"/>
    <col min="15879" max="16133" width="8.88671875" style="197"/>
    <col min="16134" max="16134" width="8.77734375" style="197" bestFit="1" customWidth="1"/>
    <col min="16135" max="16384" width="8.88671875" style="197"/>
  </cols>
  <sheetData>
    <row r="1" spans="2:8" ht="18.75" x14ac:dyDescent="0.3">
      <c r="B1" s="376" t="s">
        <v>422</v>
      </c>
      <c r="C1" s="376"/>
      <c r="D1" s="376"/>
      <c r="E1" s="376"/>
      <c r="F1" s="376"/>
      <c r="G1" s="288"/>
    </row>
    <row r="2" spans="2:8" ht="15" x14ac:dyDescent="0.2">
      <c r="E2" s="199" t="s">
        <v>146</v>
      </c>
      <c r="F2" s="199" t="s">
        <v>146</v>
      </c>
    </row>
    <row r="3" spans="2:8" x14ac:dyDescent="0.25">
      <c r="B3" s="201" t="s">
        <v>193</v>
      </c>
      <c r="F3" s="215"/>
    </row>
    <row r="4" spans="2:8" ht="6" customHeight="1" x14ac:dyDescent="0.25">
      <c r="B4" s="201"/>
      <c r="F4" s="215"/>
    </row>
    <row r="5" spans="2:8" x14ac:dyDescent="0.25">
      <c r="B5" s="197" t="s">
        <v>194</v>
      </c>
      <c r="F5" s="219">
        <f>'Core Fund Grant WP'!N16</f>
        <v>458690.4</v>
      </c>
    </row>
    <row r="6" spans="2:8" ht="6.75" customHeight="1" x14ac:dyDescent="0.25">
      <c r="F6" s="219"/>
    </row>
    <row r="7" spans="2:8" x14ac:dyDescent="0.25">
      <c r="B7" s="197" t="s">
        <v>394</v>
      </c>
      <c r="F7" s="219">
        <f>-F57</f>
        <v>285130.55499999999</v>
      </c>
    </row>
    <row r="8" spans="2:8" ht="6" customHeight="1" x14ac:dyDescent="0.25"/>
    <row r="9" spans="2:8" x14ac:dyDescent="0.25">
      <c r="B9" s="201" t="s">
        <v>190</v>
      </c>
    </row>
    <row r="10" spans="2:8" x14ac:dyDescent="0.25">
      <c r="B10" s="197" t="s">
        <v>191</v>
      </c>
      <c r="F10" s="219">
        <f>'Core Fund Grant WP'!N21</f>
        <v>21300</v>
      </c>
    </row>
    <row r="11" spans="2:8" ht="6" customHeight="1" x14ac:dyDescent="0.25"/>
    <row r="12" spans="2:8" x14ac:dyDescent="0.25">
      <c r="B12" s="201" t="s">
        <v>211</v>
      </c>
    </row>
    <row r="13" spans="2:8" x14ac:dyDescent="0.25">
      <c r="B13" s="229" t="s">
        <v>215</v>
      </c>
    </row>
    <row r="14" spans="2:8" x14ac:dyDescent="0.25">
      <c r="B14" s="197" t="s">
        <v>25</v>
      </c>
      <c r="E14" s="205">
        <f>'Core Fund Grant WP'!N23+'Core Fund Grant WP'!N25</f>
        <v>20400</v>
      </c>
    </row>
    <row r="15" spans="2:8" x14ac:dyDescent="0.25">
      <c r="B15" s="197" t="s">
        <v>224</v>
      </c>
      <c r="E15" s="205">
        <f>'Core Fund Grant WP'!N22</f>
        <v>3000</v>
      </c>
      <c r="H15" s="109"/>
    </row>
    <row r="16" spans="2:8" x14ac:dyDescent="0.25">
      <c r="B16" s="197" t="s">
        <v>196</v>
      </c>
      <c r="E16" s="205">
        <f>'Core Fund Grant WP'!N24</f>
        <v>20000</v>
      </c>
    </row>
    <row r="17" spans="2:7" x14ac:dyDescent="0.25">
      <c r="B17" s="197" t="s">
        <v>233</v>
      </c>
      <c r="E17" s="205">
        <f>'Core Fund Grant WP'!N27</f>
        <v>10640</v>
      </c>
    </row>
    <row r="18" spans="2:7" x14ac:dyDescent="0.25">
      <c r="B18" s="197" t="s">
        <v>198</v>
      </c>
      <c r="E18" s="205">
        <f>'Core Fund Grant WP'!N26</f>
        <v>4800</v>
      </c>
    </row>
    <row r="19" spans="2:7" x14ac:dyDescent="0.25">
      <c r="B19" s="197" t="s">
        <v>116</v>
      </c>
      <c r="E19" s="205">
        <f>'Core Fund Grant WP'!N28</f>
        <v>4320</v>
      </c>
    </row>
    <row r="20" spans="2:7" x14ac:dyDescent="0.25">
      <c r="B20" s="197" t="s">
        <v>197</v>
      </c>
      <c r="E20" s="205">
        <f>'Core Fund Grant WP'!N30+'Core Fund Grant WP'!N31</f>
        <v>3600</v>
      </c>
    </row>
    <row r="21" spans="2:7" x14ac:dyDescent="0.25">
      <c r="B21" s="197" t="s">
        <v>204</v>
      </c>
      <c r="E21" s="205">
        <f>'Core Fund Grant WP'!N29</f>
        <v>12000</v>
      </c>
    </row>
    <row r="22" spans="2:7" x14ac:dyDescent="0.25">
      <c r="B22" s="197" t="s">
        <v>199</v>
      </c>
      <c r="E22" s="280">
        <f>'Core Fund Grant WP'!N32</f>
        <v>1200</v>
      </c>
      <c r="F22" s="221"/>
    </row>
    <row r="23" spans="2:7" x14ac:dyDescent="0.25">
      <c r="B23" s="203" t="s">
        <v>318</v>
      </c>
      <c r="C23" s="203"/>
      <c r="D23" s="203"/>
      <c r="E23" s="214">
        <f>'Core Fund Grant WP'!N33</f>
        <v>4338</v>
      </c>
      <c r="F23" s="218"/>
    </row>
    <row r="24" spans="2:7" x14ac:dyDescent="0.25">
      <c r="B24" s="200"/>
      <c r="F24" s="217">
        <f>SUM(E14:E23)</f>
        <v>84298</v>
      </c>
    </row>
    <row r="25" spans="2:7" x14ac:dyDescent="0.25">
      <c r="B25" s="229" t="s">
        <v>212</v>
      </c>
    </row>
    <row r="26" spans="2:7" x14ac:dyDescent="0.25">
      <c r="B26" s="156" t="s">
        <v>64</v>
      </c>
      <c r="E26" s="205">
        <f>'Core Fund Grant WP'!N20</f>
        <v>36000</v>
      </c>
    </row>
    <row r="27" spans="2:7" x14ac:dyDescent="0.25">
      <c r="B27" s="197" t="s">
        <v>195</v>
      </c>
      <c r="E27" s="214">
        <f>'Core Fund Grant WP'!N40</f>
        <v>15000</v>
      </c>
      <c r="F27" s="218"/>
    </row>
    <row r="28" spans="2:7" x14ac:dyDescent="0.25">
      <c r="B28" s="200"/>
      <c r="F28" s="217">
        <f>SUM(E26:E27)</f>
        <v>51000</v>
      </c>
    </row>
    <row r="29" spans="2:7" x14ac:dyDescent="0.25">
      <c r="B29" s="229" t="s">
        <v>213</v>
      </c>
    </row>
    <row r="30" spans="2:7" ht="15" x14ac:dyDescent="0.2">
      <c r="B30" s="315" t="s">
        <v>336</v>
      </c>
      <c r="E30" s="214">
        <f>'Core Fund Grant WP'!N19</f>
        <v>60000</v>
      </c>
      <c r="F30" s="361"/>
    </row>
    <row r="31" spans="2:7" x14ac:dyDescent="0.25">
      <c r="E31" s="215"/>
      <c r="F31" s="219">
        <f>SUM(E30:E30)</f>
        <v>60000</v>
      </c>
    </row>
    <row r="32" spans="2:7" s="203" customFormat="1" x14ac:dyDescent="0.25">
      <c r="B32" s="230" t="s">
        <v>214</v>
      </c>
      <c r="E32" s="216"/>
      <c r="F32" s="219"/>
      <c r="G32" s="204"/>
    </row>
    <row r="33" spans="2:10" s="203" customFormat="1" x14ac:dyDescent="0.25">
      <c r="B33" s="203" t="s">
        <v>357</v>
      </c>
      <c r="E33" s="365">
        <v>40620</v>
      </c>
      <c r="F33" s="219"/>
      <c r="G33" s="204"/>
    </row>
    <row r="34" spans="2:10" x14ac:dyDescent="0.25">
      <c r="B34" s="197" t="s">
        <v>53</v>
      </c>
      <c r="E34" s="205">
        <f>'Core Fund Grant WP'!N37</f>
        <v>24000</v>
      </c>
      <c r="J34" s="203"/>
    </row>
    <row r="35" spans="2:10" x14ac:dyDescent="0.25">
      <c r="B35" s="197" t="s">
        <v>86</v>
      </c>
      <c r="E35" s="281">
        <f>'Core Fund Grant WP'!N38</f>
        <v>18000</v>
      </c>
      <c r="J35" s="203"/>
    </row>
    <row r="36" spans="2:10" ht="15.75" customHeight="1" x14ac:dyDescent="0.25">
      <c r="B36" s="377" t="s">
        <v>217</v>
      </c>
      <c r="C36" s="377"/>
      <c r="D36" s="377"/>
      <c r="E36" s="205">
        <f>'Core Fund Grant WP'!N39</f>
        <v>9000</v>
      </c>
      <c r="J36" s="203"/>
    </row>
    <row r="37" spans="2:10" x14ac:dyDescent="0.25">
      <c r="B37" s="197" t="s">
        <v>216</v>
      </c>
      <c r="E37" s="282">
        <f>'Core Fund Grant WP'!N36</f>
        <v>8400</v>
      </c>
      <c r="F37" s="218"/>
      <c r="J37" s="203"/>
    </row>
    <row r="38" spans="2:10" x14ac:dyDescent="0.25">
      <c r="E38" s="215"/>
      <c r="F38" s="217">
        <f>SUM(E33:E37)</f>
        <v>100020</v>
      </c>
      <c r="J38" s="203"/>
    </row>
    <row r="39" spans="2:10" ht="6" customHeight="1" x14ac:dyDescent="0.25"/>
    <row r="40" spans="2:10" ht="16.5" thickBot="1" x14ac:dyDescent="0.3">
      <c r="B40" s="200" t="s">
        <v>203</v>
      </c>
      <c r="F40" s="364">
        <f>SUM(F3:F39)</f>
        <v>1060438.9550000001</v>
      </c>
    </row>
    <row r="41" spans="2:10" ht="16.5" thickTop="1" x14ac:dyDescent="0.25">
      <c r="B41" s="200" t="s">
        <v>89</v>
      </c>
    </row>
    <row r="42" spans="2:10" ht="6" customHeight="1" x14ac:dyDescent="0.25">
      <c r="B42" s="200"/>
    </row>
    <row r="43" spans="2:10" x14ac:dyDescent="0.25">
      <c r="B43" s="201" t="s">
        <v>208</v>
      </c>
    </row>
    <row r="44" spans="2:10" x14ac:dyDescent="0.25">
      <c r="B44" s="197" t="s">
        <v>333</v>
      </c>
      <c r="E44" s="205">
        <f>'Core Fund Grant WP'!N46</f>
        <v>-500000</v>
      </c>
    </row>
    <row r="45" spans="2:10" x14ac:dyDescent="0.25">
      <c r="B45" s="197" t="s">
        <v>358</v>
      </c>
      <c r="E45" s="280">
        <f>-E33</f>
        <v>-40620</v>
      </c>
    </row>
    <row r="46" spans="2:10" x14ac:dyDescent="0.25">
      <c r="B46" s="197" t="s">
        <v>355</v>
      </c>
      <c r="E46" s="280">
        <f>'Core Fund Grant WP'!N47</f>
        <v>-55190.400000000001</v>
      </c>
    </row>
    <row r="47" spans="2:10" x14ac:dyDescent="0.25">
      <c r="B47" s="197" t="s">
        <v>251</v>
      </c>
      <c r="E47" s="205">
        <f>'Core Fund Grant WP'!N48</f>
        <v>-90310</v>
      </c>
    </row>
    <row r="48" spans="2:10" x14ac:dyDescent="0.25">
      <c r="B48" s="197" t="s">
        <v>327</v>
      </c>
      <c r="E48" s="205">
        <f>'Core Fund Grant WP'!N49</f>
        <v>-76188</v>
      </c>
      <c r="F48" s="221"/>
    </row>
    <row r="49" spans="2:10" x14ac:dyDescent="0.25">
      <c r="B49" s="197" t="s">
        <v>219</v>
      </c>
      <c r="E49" s="280">
        <f>'Core Fund Grant WP'!N50</f>
        <v>-13000</v>
      </c>
      <c r="F49" s="221"/>
    </row>
    <row r="50" spans="2:10" ht="16.5" thickBot="1" x14ac:dyDescent="0.3">
      <c r="B50" s="200" t="s">
        <v>365</v>
      </c>
      <c r="E50" s="311"/>
      <c r="F50" s="364">
        <f>SUM(E43:E49)</f>
        <v>-775308.4</v>
      </c>
      <c r="H50" s="367">
        <f>'Core Fund Grant WP'!N43+E33</f>
        <v>775308.4</v>
      </c>
      <c r="I50" s="252" t="s">
        <v>247</v>
      </c>
    </row>
    <row r="51" spans="2:10" ht="7.5" customHeight="1" thickTop="1" x14ac:dyDescent="0.25">
      <c r="B51" s="200"/>
      <c r="E51" s="228"/>
      <c r="F51" s="221"/>
    </row>
    <row r="52" spans="2:10" x14ac:dyDescent="0.25">
      <c r="B52" s="201" t="s">
        <v>249</v>
      </c>
    </row>
    <row r="53" spans="2:10" x14ac:dyDescent="0.25">
      <c r="B53" s="197" t="s">
        <v>395</v>
      </c>
    </row>
    <row r="54" spans="2:10" x14ac:dyDescent="0.25">
      <c r="E54" s="286" t="s">
        <v>146</v>
      </c>
      <c r="F54" s="197"/>
      <c r="H54" s="241"/>
    </row>
    <row r="55" spans="2:10" x14ac:dyDescent="0.25">
      <c r="B55" s="200" t="s">
        <v>29</v>
      </c>
      <c r="E55" s="205">
        <f>-SUM('SCC Match Funding'!E10+C87)</f>
        <v>-179710.85499999998</v>
      </c>
      <c r="F55" s="197"/>
      <c r="H55" s="251"/>
    </row>
    <row r="56" spans="2:10" x14ac:dyDescent="0.25">
      <c r="B56" s="200" t="s">
        <v>236</v>
      </c>
      <c r="E56" s="205">
        <f>-'SoTCC Match Funding (TBC)'!E8-B87</f>
        <v>-105419.7</v>
      </c>
      <c r="F56" s="197"/>
      <c r="H56" s="251"/>
    </row>
    <row r="57" spans="2:10" ht="18.75" thickBot="1" x14ac:dyDescent="0.3">
      <c r="B57" s="200" t="s">
        <v>248</v>
      </c>
      <c r="F57" s="364">
        <f>SUM(E55:E56)</f>
        <v>-285130.55499999999</v>
      </c>
      <c r="H57" s="253">
        <f>SUM('2021-22 Core Fund Grant Applicn'!E41:E42)</f>
        <v>285130.55499999999</v>
      </c>
      <c r="I57" s="252" t="s">
        <v>247</v>
      </c>
      <c r="J57" s="287"/>
    </row>
    <row r="58" spans="2:10" ht="16.5" thickTop="1" x14ac:dyDescent="0.25">
      <c r="B58" s="200"/>
      <c r="F58" s="290"/>
      <c r="H58" s="253"/>
      <c r="I58" s="252"/>
      <c r="J58" s="287"/>
    </row>
    <row r="59" spans="2:10" ht="16.5" thickBot="1" x14ac:dyDescent="0.3">
      <c r="B59" s="200" t="s">
        <v>396</v>
      </c>
      <c r="E59" s="205"/>
      <c r="F59" s="364">
        <f>SUM(F50+F57)</f>
        <v>-1060438.9550000001</v>
      </c>
      <c r="H59" s="253"/>
      <c r="I59" s="372">
        <f>-F59-E33+E46+E48</f>
        <v>888440.55500000005</v>
      </c>
      <c r="J59" s="252" t="s">
        <v>247</v>
      </c>
    </row>
    <row r="60" spans="2:10" ht="16.5" thickTop="1" x14ac:dyDescent="0.25">
      <c r="B60" s="200"/>
      <c r="E60" s="205"/>
      <c r="F60" s="290"/>
      <c r="H60" s="253"/>
      <c r="I60" s="252"/>
      <c r="J60" s="287"/>
    </row>
    <row r="61" spans="2:10" x14ac:dyDescent="0.25">
      <c r="B61" s="201" t="s">
        <v>397</v>
      </c>
      <c r="E61" s="205"/>
      <c r="F61" s="290"/>
      <c r="H61" s="253"/>
      <c r="I61" s="252"/>
      <c r="J61" s="287"/>
    </row>
    <row r="62" spans="2:10" x14ac:dyDescent="0.25">
      <c r="B62" s="200"/>
      <c r="E62" s="205"/>
      <c r="F62" s="290"/>
      <c r="H62" s="253"/>
      <c r="I62" s="252"/>
      <c r="J62" s="287"/>
    </row>
    <row r="63" spans="2:10" x14ac:dyDescent="0.25">
      <c r="B63" s="200" t="s">
        <v>398</v>
      </c>
      <c r="E63" s="205"/>
      <c r="F63" s="290">
        <f>+E56</f>
        <v>-105419.7</v>
      </c>
      <c r="H63" s="253"/>
      <c r="I63" s="252"/>
      <c r="J63" s="287"/>
    </row>
    <row r="64" spans="2:10" x14ac:dyDescent="0.25">
      <c r="B64" s="200" t="s">
        <v>399</v>
      </c>
      <c r="E64" s="205"/>
      <c r="F64" s="290">
        <f>+E55</f>
        <v>-179710.85499999998</v>
      </c>
      <c r="H64" s="253"/>
      <c r="I64" s="252"/>
      <c r="J64" s="287"/>
    </row>
    <row r="65" spans="1:15" x14ac:dyDescent="0.25">
      <c r="B65" s="200" t="s">
        <v>400</v>
      </c>
      <c r="E65" s="205"/>
      <c r="F65" s="290">
        <v>-90310</v>
      </c>
      <c r="H65" s="253"/>
      <c r="I65" s="252"/>
      <c r="J65" s="287"/>
    </row>
    <row r="66" spans="1:15" x14ac:dyDescent="0.25">
      <c r="B66" s="200" t="s">
        <v>401</v>
      </c>
      <c r="F66" s="221">
        <v>-13000</v>
      </c>
      <c r="H66" s="253"/>
      <c r="I66" s="252"/>
      <c r="J66" s="287"/>
    </row>
    <row r="67" spans="1:15" ht="16.5" thickBot="1" x14ac:dyDescent="0.3">
      <c r="B67" s="200" t="s">
        <v>402</v>
      </c>
      <c r="F67" s="220">
        <f>SUM(F63:F66)</f>
        <v>-388440.55499999999</v>
      </c>
      <c r="H67" s="253"/>
      <c r="I67" s="252"/>
      <c r="J67" s="287"/>
    </row>
    <row r="68" spans="1:15" ht="16.5" thickTop="1" x14ac:dyDescent="0.25">
      <c r="B68" s="200"/>
      <c r="F68" s="290"/>
      <c r="H68" s="253"/>
      <c r="I68" s="252"/>
      <c r="J68" s="287"/>
    </row>
    <row r="69" spans="1:15" x14ac:dyDescent="0.25">
      <c r="B69" s="254" t="s">
        <v>252</v>
      </c>
      <c r="F69" s="290"/>
      <c r="H69" s="253"/>
      <c r="I69" s="252"/>
      <c r="J69" s="287"/>
    </row>
    <row r="70" spans="1:15" x14ac:dyDescent="0.25">
      <c r="B70" s="200"/>
      <c r="F70" s="290"/>
      <c r="H70" s="253"/>
      <c r="I70" s="252"/>
      <c r="J70" s="287"/>
    </row>
    <row r="71" spans="1:15" ht="16.5" thickBot="1" x14ac:dyDescent="0.3">
      <c r="A71" s="242"/>
      <c r="B71" s="242"/>
      <c r="C71" s="242"/>
      <c r="D71" s="242"/>
      <c r="E71" s="246"/>
      <c r="F71" s="244"/>
      <c r="G71" s="245"/>
    </row>
    <row r="72" spans="1:15" x14ac:dyDescent="0.25">
      <c r="B72" s="254"/>
    </row>
    <row r="73" spans="1:15" x14ac:dyDescent="0.25">
      <c r="B73" s="254" t="s">
        <v>341</v>
      </c>
    </row>
    <row r="74" spans="1:15" x14ac:dyDescent="0.25">
      <c r="E74" s="217" t="s">
        <v>146</v>
      </c>
      <c r="F74" s="286" t="s">
        <v>146</v>
      </c>
      <c r="K74" s="291"/>
      <c r="L74" s="210"/>
      <c r="M74" s="210"/>
      <c r="N74" s="292"/>
      <c r="O74" s="292"/>
    </row>
    <row r="75" spans="1:15" x14ac:dyDescent="0.25">
      <c r="B75" s="254" t="s">
        <v>328</v>
      </c>
      <c r="F75" s="219">
        <f>F40</f>
        <v>1060438.9550000001</v>
      </c>
      <c r="K75" s="291"/>
      <c r="L75" s="210"/>
      <c r="M75" s="210"/>
      <c r="N75" s="280"/>
      <c r="O75" s="290"/>
    </row>
    <row r="76" spans="1:15" x14ac:dyDescent="0.25">
      <c r="B76" s="254" t="s">
        <v>424</v>
      </c>
      <c r="F76" s="366">
        <f>-E33</f>
        <v>-40620</v>
      </c>
      <c r="K76" s="291"/>
      <c r="L76" s="210"/>
      <c r="M76" s="210"/>
      <c r="N76" s="280"/>
      <c r="O76" s="292"/>
    </row>
    <row r="77" spans="1:15" x14ac:dyDescent="0.25">
      <c r="B77" s="254" t="s">
        <v>292</v>
      </c>
      <c r="F77" s="217">
        <f>SUM(F75:F76)</f>
        <v>1019818.9550000001</v>
      </c>
      <c r="G77" s="289"/>
      <c r="K77" s="291"/>
      <c r="L77" s="210"/>
      <c r="M77" s="210"/>
      <c r="N77" s="280"/>
      <c r="O77" s="290"/>
    </row>
    <row r="78" spans="1:15" x14ac:dyDescent="0.25">
      <c r="B78" s="254" t="s">
        <v>423</v>
      </c>
      <c r="F78" s="217">
        <f>E46+E48</f>
        <v>-131378.4</v>
      </c>
      <c r="G78" s="289"/>
      <c r="K78" s="291"/>
      <c r="L78" s="210"/>
      <c r="M78" s="210"/>
      <c r="N78" s="280"/>
      <c r="O78" s="290"/>
    </row>
    <row r="79" spans="1:15" x14ac:dyDescent="0.25">
      <c r="B79" s="254" t="s">
        <v>345</v>
      </c>
      <c r="F79" s="366">
        <f>F67</f>
        <v>-388440.55499999999</v>
      </c>
      <c r="K79" s="291"/>
      <c r="L79" s="210"/>
      <c r="M79" s="210"/>
      <c r="N79" s="280"/>
      <c r="O79" s="290"/>
    </row>
    <row r="80" spans="1:15" ht="16.5" thickBot="1" x14ac:dyDescent="0.3">
      <c r="B80" s="254" t="s">
        <v>404</v>
      </c>
      <c r="F80" s="364">
        <f>SUM(F77:F79)</f>
        <v>500000.00000000006</v>
      </c>
      <c r="I80" s="241"/>
      <c r="K80" s="291"/>
      <c r="L80" s="210"/>
      <c r="M80" s="210"/>
      <c r="N80" s="290"/>
      <c r="O80" s="290"/>
    </row>
    <row r="81" spans="1:8" ht="17.25" thickTop="1" thickBot="1" x14ac:dyDescent="0.3">
      <c r="A81" s="242"/>
      <c r="B81" s="242"/>
      <c r="C81" s="242"/>
      <c r="D81" s="242"/>
      <c r="E81" s="246"/>
      <c r="F81" s="244"/>
      <c r="G81" s="245"/>
    </row>
    <row r="82" spans="1:8" x14ac:dyDescent="0.25">
      <c r="B82" s="197" t="s">
        <v>57</v>
      </c>
      <c r="F82" s="286"/>
    </row>
    <row r="83" spans="1:8" x14ac:dyDescent="0.25">
      <c r="B83" s="254"/>
    </row>
    <row r="84" spans="1:8" x14ac:dyDescent="0.25">
      <c r="B84" s="254" t="s">
        <v>250</v>
      </c>
      <c r="H84" s="241"/>
    </row>
    <row r="85" spans="1:8" x14ac:dyDescent="0.25">
      <c r="B85" s="322" t="s">
        <v>59</v>
      </c>
      <c r="C85" s="322" t="s">
        <v>291</v>
      </c>
      <c r="D85" s="223"/>
    </row>
    <row r="86" spans="1:8" x14ac:dyDescent="0.25">
      <c r="B86" s="323">
        <v>0.62</v>
      </c>
      <c r="C86" s="323">
        <v>0.38</v>
      </c>
      <c r="D86" s="223"/>
    </row>
    <row r="87" spans="1:8" ht="16.5" thickBot="1" x14ac:dyDescent="0.3">
      <c r="B87" s="324">
        <f>50000*B86</f>
        <v>31000</v>
      </c>
      <c r="C87" s="324">
        <f>50000*C86</f>
        <v>19000</v>
      </c>
      <c r="D87" s="325">
        <f>SUM(B87:C87)</f>
        <v>50000</v>
      </c>
    </row>
    <row r="88" spans="1:8" ht="16.5" thickTop="1" x14ac:dyDescent="0.25">
      <c r="B88" s="223"/>
      <c r="C88" s="223"/>
      <c r="D88" s="223"/>
    </row>
  </sheetData>
  <protectedRanges>
    <protectedRange sqref="B26" name="Range3_1"/>
    <protectedRange sqref="B36:C36" name="Range3_1_2"/>
  </protectedRanges>
  <mergeCells count="2">
    <mergeCell ref="B1:F1"/>
    <mergeCell ref="B36:D36"/>
  </mergeCells>
  <pageMargins left="0.25" right="0.25"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9F4E3-6649-4CB4-ACD4-6035587EC3EB}">
  <sheetPr>
    <tabColor rgb="FF7030A0"/>
    <pageSetUpPr fitToPage="1"/>
  </sheetPr>
  <dimension ref="A1:K54"/>
  <sheetViews>
    <sheetView topLeftCell="A20" zoomScale="90" zoomScaleNormal="90" workbookViewId="0">
      <selection activeCell="B37" sqref="B37:G42"/>
    </sheetView>
  </sheetViews>
  <sheetFormatPr defaultRowHeight="14.25" x14ac:dyDescent="0.2"/>
  <cols>
    <col min="1" max="1" width="31.44140625" style="255" customWidth="1"/>
    <col min="2" max="2" width="21.88671875" style="255" customWidth="1"/>
    <col min="3" max="3" width="16.33203125" style="255" customWidth="1"/>
    <col min="4" max="4" width="13.44140625" style="255" customWidth="1"/>
    <col min="5" max="5" width="10.77734375" style="255" customWidth="1"/>
    <col min="6" max="6" width="6.77734375" style="255" customWidth="1"/>
    <col min="7" max="7" width="6.44140625" style="255" customWidth="1"/>
    <col min="8" max="8" width="1.77734375" style="255" customWidth="1"/>
    <col min="9" max="16384" width="8.88671875" style="255"/>
  </cols>
  <sheetData>
    <row r="1" spans="1:9" ht="15" x14ac:dyDescent="0.25">
      <c r="A1" s="424" t="s">
        <v>304</v>
      </c>
      <c r="B1" s="424"/>
      <c r="C1" s="424"/>
      <c r="D1" s="424"/>
      <c r="E1" s="424"/>
      <c r="F1" s="424"/>
      <c r="G1" s="424"/>
    </row>
    <row r="2" spans="1:9" ht="15" thickBot="1" x14ac:dyDescent="0.25"/>
    <row r="3" spans="1:9" ht="30.75" thickBot="1" x14ac:dyDescent="0.3">
      <c r="A3" s="256" t="s">
        <v>253</v>
      </c>
      <c r="B3" s="425" t="s">
        <v>260</v>
      </c>
      <c r="C3" s="426"/>
      <c r="D3" s="426"/>
      <c r="E3" s="426"/>
      <c r="F3" s="426"/>
      <c r="G3" s="427"/>
      <c r="I3" s="278" t="s">
        <v>266</v>
      </c>
    </row>
    <row r="4" spans="1:9" ht="15" thickBot="1" x14ac:dyDescent="0.25"/>
    <row r="5" spans="1:9" ht="62.25" customHeight="1" thickBot="1" x14ac:dyDescent="0.25">
      <c r="A5" s="428" t="s">
        <v>331</v>
      </c>
      <c r="B5" s="257" t="s">
        <v>19</v>
      </c>
      <c r="C5" s="258" t="s">
        <v>7</v>
      </c>
      <c r="D5" s="257" t="s">
        <v>8</v>
      </c>
      <c r="E5" s="431" t="s">
        <v>254</v>
      </c>
      <c r="F5" s="432"/>
      <c r="G5" s="433"/>
    </row>
    <row r="6" spans="1:9" x14ac:dyDescent="0.2">
      <c r="A6" s="429"/>
      <c r="B6" s="259" t="s">
        <v>97</v>
      </c>
      <c r="C6" s="260"/>
      <c r="D6" s="314">
        <f>'2021-22 Core Fund Grant Applicn'!D12</f>
        <v>693820.95500000007</v>
      </c>
      <c r="E6" s="434" t="s">
        <v>352</v>
      </c>
      <c r="F6" s="434"/>
      <c r="G6" s="434"/>
    </row>
    <row r="7" spans="1:9" x14ac:dyDescent="0.2">
      <c r="A7" s="429"/>
      <c r="B7" s="261" t="s">
        <v>14</v>
      </c>
      <c r="C7" s="262"/>
      <c r="D7" s="263">
        <f>'2021-22 Core Fund Grant Applicn'!D21</f>
        <v>21300</v>
      </c>
      <c r="E7" s="435" t="s">
        <v>271</v>
      </c>
      <c r="F7" s="436"/>
      <c r="G7" s="437"/>
    </row>
    <row r="8" spans="1:9" ht="15" x14ac:dyDescent="0.2">
      <c r="A8" s="429"/>
      <c r="B8" s="261" t="s">
        <v>268</v>
      </c>
      <c r="C8" s="262"/>
      <c r="D8" s="343">
        <f>'2021-22 Core Fund Grant Applicn'!D22</f>
        <v>3000</v>
      </c>
      <c r="E8" s="438" t="s">
        <v>229</v>
      </c>
      <c r="F8" s="439"/>
      <c r="G8" s="440"/>
    </row>
    <row r="9" spans="1:9" ht="15" x14ac:dyDescent="0.2">
      <c r="A9" s="429"/>
      <c r="B9" s="318" t="s">
        <v>268</v>
      </c>
      <c r="C9" s="319"/>
      <c r="D9" s="343">
        <f>'2021-22 Core Fund Grant Applicn'!D23</f>
        <v>4338</v>
      </c>
      <c r="E9" s="421" t="s">
        <v>322</v>
      </c>
      <c r="F9" s="422"/>
      <c r="G9" s="423"/>
    </row>
    <row r="10" spans="1:9" x14ac:dyDescent="0.2">
      <c r="A10" s="429"/>
      <c r="B10" s="261" t="s">
        <v>13</v>
      </c>
      <c r="C10" s="262" t="s">
        <v>272</v>
      </c>
      <c r="D10" s="344">
        <f>'2021-22 Core Fund Grant Applicn'!D17</f>
        <v>60000</v>
      </c>
      <c r="E10" s="381" t="s">
        <v>273</v>
      </c>
      <c r="F10" s="381"/>
      <c r="G10" s="381"/>
    </row>
    <row r="11" spans="1:9" x14ac:dyDescent="0.2">
      <c r="A11" s="429"/>
      <c r="B11" s="261" t="s">
        <v>13</v>
      </c>
      <c r="C11" s="262" t="s">
        <v>286</v>
      </c>
      <c r="D11" s="343">
        <f>'2021-22 Core Fund Grant Applicn'!D14</f>
        <v>50000</v>
      </c>
      <c r="E11" s="441" t="s">
        <v>287</v>
      </c>
      <c r="F11" s="442"/>
      <c r="G11" s="443"/>
    </row>
    <row r="12" spans="1:9" ht="30.75" customHeight="1" x14ac:dyDescent="0.2">
      <c r="A12" s="429"/>
      <c r="B12" s="261" t="s">
        <v>13</v>
      </c>
      <c r="C12" s="262" t="s">
        <v>289</v>
      </c>
      <c r="D12" s="343">
        <f>'2021-22 Core Fund Grant Applicn'!D18</f>
        <v>50400</v>
      </c>
      <c r="E12" s="381" t="s">
        <v>270</v>
      </c>
      <c r="F12" s="381"/>
      <c r="G12" s="381"/>
    </row>
    <row r="13" spans="1:9" ht="28.5" x14ac:dyDescent="0.2">
      <c r="A13" s="429"/>
      <c r="B13" s="261" t="s">
        <v>13</v>
      </c>
      <c r="C13" s="262" t="s">
        <v>83</v>
      </c>
      <c r="D13" s="343">
        <f>'2021-22 Core Fund Grant Applicn'!D19</f>
        <v>36000</v>
      </c>
      <c r="E13" s="381" t="s">
        <v>64</v>
      </c>
      <c r="F13" s="381"/>
      <c r="G13" s="381"/>
    </row>
    <row r="14" spans="1:9" x14ac:dyDescent="0.2">
      <c r="A14" s="429"/>
      <c r="B14" s="261" t="s">
        <v>13</v>
      </c>
      <c r="C14" s="262" t="s">
        <v>25</v>
      </c>
      <c r="D14" s="343">
        <f>'2021-22 Core Fund Grant Applicn'!D20</f>
        <v>20400</v>
      </c>
      <c r="E14" s="381" t="s">
        <v>274</v>
      </c>
      <c r="F14" s="381"/>
      <c r="G14" s="381"/>
    </row>
    <row r="15" spans="1:9" ht="14.25" customHeight="1" x14ac:dyDescent="0.2">
      <c r="A15" s="429"/>
      <c r="B15" s="261" t="s">
        <v>13</v>
      </c>
      <c r="C15" s="262" t="s">
        <v>93</v>
      </c>
      <c r="D15" s="343">
        <f>'2021-22 Core Fund Grant Applicn'!D24</f>
        <v>15000</v>
      </c>
      <c r="E15" s="381" t="s">
        <v>275</v>
      </c>
      <c r="F15" s="381"/>
      <c r="G15" s="381"/>
    </row>
    <row r="16" spans="1:9" ht="27" customHeight="1" x14ac:dyDescent="0.2">
      <c r="A16" s="429"/>
      <c r="B16" s="261" t="s">
        <v>13</v>
      </c>
      <c r="C16" s="262" t="s">
        <v>276</v>
      </c>
      <c r="D16" s="343">
        <f>'2021-22 Core Fund Grant Applicn'!D25</f>
        <v>20000</v>
      </c>
      <c r="E16" s="381" t="s">
        <v>277</v>
      </c>
      <c r="F16" s="381"/>
      <c r="G16" s="381"/>
    </row>
    <row r="17" spans="1:9" ht="28.5" x14ac:dyDescent="0.2">
      <c r="A17" s="429"/>
      <c r="B17" s="261" t="s">
        <v>13</v>
      </c>
      <c r="C17" s="262" t="s">
        <v>288</v>
      </c>
      <c r="D17" s="343">
        <f>'2021-22 Core Fund Grant Applicn'!D26</f>
        <v>9000</v>
      </c>
      <c r="E17" s="381" t="s">
        <v>135</v>
      </c>
      <c r="F17" s="381"/>
      <c r="G17" s="381"/>
    </row>
    <row r="18" spans="1:9" ht="28.5" customHeight="1" x14ac:dyDescent="0.2">
      <c r="A18" s="429"/>
      <c r="B18" s="261" t="s">
        <v>13</v>
      </c>
      <c r="C18" s="264" t="s">
        <v>139</v>
      </c>
      <c r="D18" s="343">
        <f>'2021-22 Core Fund Grant Applicn'!D27</f>
        <v>10640</v>
      </c>
      <c r="E18" s="381" t="s">
        <v>140</v>
      </c>
      <c r="F18" s="381"/>
      <c r="G18" s="381"/>
    </row>
    <row r="19" spans="1:9" ht="15" x14ac:dyDescent="0.2">
      <c r="A19" s="429"/>
      <c r="B19" s="261" t="s">
        <v>13</v>
      </c>
      <c r="C19" s="264" t="s">
        <v>278</v>
      </c>
      <c r="D19" s="343">
        <f>'2021-22 Core Fund Grant Applicn'!D28</f>
        <v>4800</v>
      </c>
      <c r="E19" s="382" t="s">
        <v>138</v>
      </c>
      <c r="F19" s="383"/>
      <c r="G19" s="384"/>
    </row>
    <row r="20" spans="1:9" x14ac:dyDescent="0.2">
      <c r="A20" s="429"/>
      <c r="B20" s="261" t="s">
        <v>13</v>
      </c>
      <c r="C20" s="264" t="s">
        <v>279</v>
      </c>
      <c r="D20" s="343">
        <f>'2021-22 Core Fund Grant Applicn'!D29</f>
        <v>4320</v>
      </c>
      <c r="E20" s="381" t="s">
        <v>116</v>
      </c>
      <c r="F20" s="381"/>
      <c r="G20" s="381"/>
    </row>
    <row r="21" spans="1:9" ht="15" x14ac:dyDescent="0.2">
      <c r="A21" s="429"/>
      <c r="B21" s="261" t="s">
        <v>13</v>
      </c>
      <c r="C21" s="264" t="s">
        <v>280</v>
      </c>
      <c r="D21" s="343">
        <f>'2021-22 Core Fund Grant Applicn'!D30</f>
        <v>12000</v>
      </c>
      <c r="E21" s="382" t="s">
        <v>27</v>
      </c>
      <c r="F21" s="383"/>
      <c r="G21" s="384"/>
    </row>
    <row r="22" spans="1:9" x14ac:dyDescent="0.2">
      <c r="A22" s="429"/>
      <c r="B22" s="261" t="s">
        <v>13</v>
      </c>
      <c r="C22" s="264" t="s">
        <v>281</v>
      </c>
      <c r="D22" s="343">
        <f>'2021-22 Core Fund Grant Applicn'!D31</f>
        <v>3600</v>
      </c>
      <c r="E22" s="381" t="s">
        <v>145</v>
      </c>
      <c r="F22" s="381"/>
      <c r="G22" s="381"/>
    </row>
    <row r="23" spans="1:9" ht="28.5" x14ac:dyDescent="0.2">
      <c r="A23" s="429"/>
      <c r="B23" s="261" t="s">
        <v>13</v>
      </c>
      <c r="C23" s="264" t="s">
        <v>282</v>
      </c>
      <c r="D23" s="342">
        <f>'2021-22 Core Fund Grant Applicn'!D32</f>
        <v>1200</v>
      </c>
      <c r="E23" s="381" t="s">
        <v>283</v>
      </c>
      <c r="F23" s="381"/>
      <c r="G23" s="381"/>
    </row>
    <row r="24" spans="1:9" ht="28.5" x14ac:dyDescent="0.2">
      <c r="A24" s="429"/>
      <c r="B24" s="328" t="s">
        <v>343</v>
      </c>
      <c r="C24" s="329" t="s">
        <v>290</v>
      </c>
      <c r="D24" s="342">
        <f>'2021-22 Core Fund Grant Applicn'!D33</f>
        <v>-55190.400000000001</v>
      </c>
      <c r="E24" s="385" t="s">
        <v>284</v>
      </c>
      <c r="F24" s="385"/>
      <c r="G24" s="385"/>
      <c r="I24" s="283"/>
    </row>
    <row r="25" spans="1:9" ht="42.75" x14ac:dyDescent="0.2">
      <c r="A25" s="429"/>
      <c r="B25" s="328" t="s">
        <v>343</v>
      </c>
      <c r="C25" s="329" t="s">
        <v>417</v>
      </c>
      <c r="D25" s="342">
        <f>'2021-22 Core Fund Grant Applicn'!D34</f>
        <v>-76188</v>
      </c>
      <c r="E25" s="385" t="s">
        <v>285</v>
      </c>
      <c r="F25" s="385"/>
      <c r="G25" s="385"/>
      <c r="I25" s="283"/>
    </row>
    <row r="26" spans="1:9" ht="15.75" thickBot="1" x14ac:dyDescent="0.3">
      <c r="A26" s="430"/>
      <c r="B26" s="265"/>
      <c r="C26" s="266"/>
      <c r="D26" s="346">
        <f>SUM(D6:D25)</f>
        <v>888440.55500000005</v>
      </c>
      <c r="E26" s="398"/>
      <c r="F26" s="398"/>
      <c r="G26" s="398"/>
    </row>
    <row r="27" spans="1:9" ht="15" thickBot="1" x14ac:dyDescent="0.25"/>
    <row r="28" spans="1:9" ht="66" customHeight="1" thickBot="1" x14ac:dyDescent="0.25">
      <c r="A28" s="399" t="s">
        <v>332</v>
      </c>
      <c r="B28" s="257" t="s">
        <v>0</v>
      </c>
      <c r="C28" s="257" t="s">
        <v>255</v>
      </c>
      <c r="D28" s="257" t="s">
        <v>2</v>
      </c>
      <c r="E28" s="267" t="s">
        <v>3</v>
      </c>
      <c r="F28" s="402" t="s">
        <v>256</v>
      </c>
      <c r="G28" s="403"/>
    </row>
    <row r="29" spans="1:9" ht="15.6" customHeight="1" x14ac:dyDescent="0.2">
      <c r="A29" s="400"/>
      <c r="B29" s="268" t="s">
        <v>29</v>
      </c>
      <c r="C29" s="259" t="s">
        <v>11</v>
      </c>
      <c r="D29" s="268"/>
      <c r="E29" s="330">
        <f>'2021-22 Core Fund Grant Applicn'!E41</f>
        <v>179710.85499999998</v>
      </c>
      <c r="F29" s="404" t="s">
        <v>264</v>
      </c>
      <c r="G29" s="405"/>
      <c r="I29" s="277" t="s">
        <v>421</v>
      </c>
    </row>
    <row r="30" spans="1:9" ht="15.6" customHeight="1" x14ac:dyDescent="0.2">
      <c r="A30" s="400"/>
      <c r="B30" s="374" t="s">
        <v>30</v>
      </c>
      <c r="C30" s="261" t="s">
        <v>11</v>
      </c>
      <c r="D30" s="264"/>
      <c r="E30" s="373">
        <f>'2021-22 Core Fund Grant Applicn'!E42</f>
        <v>105419.7</v>
      </c>
      <c r="F30" s="406" t="s">
        <v>264</v>
      </c>
      <c r="G30" s="407"/>
      <c r="I30" s="277" t="s">
        <v>420</v>
      </c>
    </row>
    <row r="31" spans="1:9" ht="15.6" customHeight="1" x14ac:dyDescent="0.2">
      <c r="A31" s="400"/>
      <c r="B31" s="375" t="s">
        <v>242</v>
      </c>
      <c r="C31" s="261" t="s">
        <v>11</v>
      </c>
      <c r="D31" s="264"/>
      <c r="E31" s="373">
        <f>'2021-22 Core Fund Grant Applicn'!E43</f>
        <v>13000</v>
      </c>
      <c r="F31" s="408" t="s">
        <v>265</v>
      </c>
      <c r="G31" s="409"/>
      <c r="I31" s="277" t="s">
        <v>418</v>
      </c>
    </row>
    <row r="32" spans="1:9" ht="15.6" customHeight="1" x14ac:dyDescent="0.2">
      <c r="A32" s="400"/>
      <c r="B32" s="264" t="s">
        <v>29</v>
      </c>
      <c r="C32" s="261" t="s">
        <v>11</v>
      </c>
      <c r="D32" s="276"/>
      <c r="E32" s="332">
        <f>'2021-22 Core Fund Grant Applicn'!E44</f>
        <v>90310</v>
      </c>
      <c r="F32" s="408" t="s">
        <v>265</v>
      </c>
      <c r="G32" s="409"/>
      <c r="I32" s="277" t="s">
        <v>419</v>
      </c>
    </row>
    <row r="33" spans="1:11" ht="15.6" customHeight="1" x14ac:dyDescent="0.2">
      <c r="A33" s="400"/>
      <c r="B33" s="269"/>
      <c r="C33" s="261"/>
      <c r="D33" s="264"/>
      <c r="E33" s="331"/>
      <c r="F33" s="408"/>
      <c r="G33" s="409"/>
      <c r="I33" s="279"/>
    </row>
    <row r="34" spans="1:11" ht="15.6" customHeight="1" x14ac:dyDescent="0.2">
      <c r="A34" s="400"/>
      <c r="B34" s="262"/>
      <c r="C34" s="261"/>
      <c r="D34" s="264"/>
      <c r="E34" s="331"/>
      <c r="F34" s="408"/>
      <c r="G34" s="409"/>
    </row>
    <row r="35" spans="1:11" ht="15.6" customHeight="1" thickBot="1" x14ac:dyDescent="0.3">
      <c r="A35" s="401"/>
      <c r="B35" s="265"/>
      <c r="C35" s="265"/>
      <c r="D35" s="265"/>
      <c r="E35" s="333">
        <f>SUM(E29:E34)</f>
        <v>388440.55499999999</v>
      </c>
      <c r="F35" s="410"/>
      <c r="G35" s="411"/>
    </row>
    <row r="36" spans="1:11" ht="15" thickBot="1" x14ac:dyDescent="0.25">
      <c r="I36" s="274"/>
      <c r="J36" s="274"/>
      <c r="K36" s="274"/>
    </row>
    <row r="37" spans="1:11" ht="15" customHeight="1" x14ac:dyDescent="0.2">
      <c r="A37" s="395" t="s">
        <v>257</v>
      </c>
      <c r="B37" s="412" t="s">
        <v>262</v>
      </c>
      <c r="C37" s="413"/>
      <c r="D37" s="413"/>
      <c r="E37" s="413"/>
      <c r="F37" s="413"/>
      <c r="G37" s="414"/>
      <c r="I37" s="274"/>
      <c r="J37" s="274"/>
      <c r="K37" s="274"/>
    </row>
    <row r="38" spans="1:11" ht="14.25" customHeight="1" x14ac:dyDescent="0.2">
      <c r="A38" s="396"/>
      <c r="B38" s="415"/>
      <c r="C38" s="416"/>
      <c r="D38" s="416"/>
      <c r="E38" s="416"/>
      <c r="F38" s="416"/>
      <c r="G38" s="417"/>
      <c r="I38" s="274"/>
      <c r="J38" s="274"/>
      <c r="K38" s="274"/>
    </row>
    <row r="39" spans="1:11" ht="14.25" customHeight="1" x14ac:dyDescent="0.2">
      <c r="A39" s="396"/>
      <c r="B39" s="415"/>
      <c r="C39" s="416"/>
      <c r="D39" s="416"/>
      <c r="E39" s="416"/>
      <c r="F39" s="416"/>
      <c r="G39" s="417"/>
      <c r="I39" s="274"/>
      <c r="J39" s="274"/>
      <c r="K39" s="274"/>
    </row>
    <row r="40" spans="1:11" ht="14.25" customHeight="1" x14ac:dyDescent="0.2">
      <c r="A40" s="396"/>
      <c r="B40" s="415"/>
      <c r="C40" s="416"/>
      <c r="D40" s="416"/>
      <c r="E40" s="416"/>
      <c r="F40" s="416"/>
      <c r="G40" s="417"/>
      <c r="I40" s="274"/>
      <c r="J40" s="274"/>
      <c r="K40" s="274"/>
    </row>
    <row r="41" spans="1:11" ht="14.25" customHeight="1" x14ac:dyDescent="0.2">
      <c r="A41" s="396"/>
      <c r="B41" s="415"/>
      <c r="C41" s="416"/>
      <c r="D41" s="416"/>
      <c r="E41" s="416"/>
      <c r="F41" s="416"/>
      <c r="G41" s="417"/>
      <c r="I41" s="274"/>
      <c r="J41" s="274"/>
      <c r="K41" s="274"/>
    </row>
    <row r="42" spans="1:11" ht="15" customHeight="1" thickBot="1" x14ac:dyDescent="0.25">
      <c r="A42" s="397"/>
      <c r="B42" s="418"/>
      <c r="C42" s="419"/>
      <c r="D42" s="419"/>
      <c r="E42" s="419"/>
      <c r="F42" s="419"/>
      <c r="G42" s="420"/>
      <c r="I42" s="274"/>
      <c r="J42" s="274"/>
      <c r="K42" s="274"/>
    </row>
    <row r="43" spans="1:11" ht="15" thickBot="1" x14ac:dyDescent="0.25">
      <c r="A43" s="270"/>
      <c r="I43" s="274"/>
      <c r="J43" s="274"/>
      <c r="K43" s="274"/>
    </row>
    <row r="44" spans="1:11" x14ac:dyDescent="0.2">
      <c r="A44" s="395" t="s">
        <v>258</v>
      </c>
      <c r="B44" s="386" t="s">
        <v>261</v>
      </c>
      <c r="C44" s="387"/>
      <c r="D44" s="387"/>
      <c r="E44" s="387"/>
      <c r="F44" s="387"/>
      <c r="G44" s="388"/>
    </row>
    <row r="45" spans="1:11" x14ac:dyDescent="0.2">
      <c r="A45" s="396" t="s">
        <v>9</v>
      </c>
      <c r="B45" s="389"/>
      <c r="C45" s="390"/>
      <c r="D45" s="390"/>
      <c r="E45" s="390"/>
      <c r="F45" s="390"/>
      <c r="G45" s="391"/>
    </row>
    <row r="46" spans="1:11" x14ac:dyDescent="0.2">
      <c r="A46" s="397"/>
      <c r="B46" s="392"/>
      <c r="C46" s="393"/>
      <c r="D46" s="393"/>
      <c r="E46" s="393"/>
      <c r="F46" s="393"/>
      <c r="G46" s="394"/>
    </row>
    <row r="47" spans="1:11" ht="15" x14ac:dyDescent="0.2">
      <c r="A47" s="271"/>
    </row>
    <row r="48" spans="1:11" ht="15" x14ac:dyDescent="0.2">
      <c r="A48" s="272" t="s">
        <v>10</v>
      </c>
      <c r="B48" s="378"/>
      <c r="C48" s="379"/>
      <c r="D48" s="379"/>
      <c r="E48" s="379"/>
      <c r="F48" s="379"/>
      <c r="G48" s="380"/>
    </row>
    <row r="49" spans="1:7" ht="15" x14ac:dyDescent="0.2">
      <c r="A49" s="271"/>
    </row>
    <row r="50" spans="1:7" x14ac:dyDescent="0.2">
      <c r="A50" s="395" t="s">
        <v>259</v>
      </c>
      <c r="B50" s="386" t="s">
        <v>118</v>
      </c>
      <c r="C50" s="387"/>
      <c r="D50" s="387"/>
      <c r="E50" s="387"/>
      <c r="F50" s="387"/>
      <c r="G50" s="388"/>
    </row>
    <row r="51" spans="1:7" x14ac:dyDescent="0.2">
      <c r="A51" s="396"/>
      <c r="B51" s="389"/>
      <c r="C51" s="390"/>
      <c r="D51" s="390"/>
      <c r="E51" s="390"/>
      <c r="F51" s="390"/>
      <c r="G51" s="391"/>
    </row>
    <row r="52" spans="1:7" x14ac:dyDescent="0.2">
      <c r="A52" s="397"/>
      <c r="B52" s="392"/>
      <c r="C52" s="393"/>
      <c r="D52" s="393"/>
      <c r="E52" s="393"/>
      <c r="F52" s="393"/>
      <c r="G52" s="394"/>
    </row>
    <row r="53" spans="1:7" ht="15" x14ac:dyDescent="0.2">
      <c r="A53" s="271"/>
    </row>
    <row r="54" spans="1:7" ht="15.4" customHeight="1" thickBot="1" x14ac:dyDescent="0.25">
      <c r="A54" s="273" t="s">
        <v>10</v>
      </c>
      <c r="B54" s="378"/>
      <c r="C54" s="379"/>
      <c r="D54" s="379"/>
      <c r="E54" s="379"/>
      <c r="F54" s="379"/>
      <c r="G54" s="380"/>
    </row>
  </sheetData>
  <protectedRanges>
    <protectedRange sqref="A28:G28 A34:G35 A29:A33" name="Range2_1"/>
    <protectedRange sqref="B3" name="Range1_1"/>
    <protectedRange sqref="A5:F5 A8:C9 A6:D7 A26:F26 A10:B25" name="Range3_1"/>
    <protectedRange sqref="B48 B54" name="Range10_1"/>
    <protectedRange sqref="B50" name="Range9_1"/>
    <protectedRange sqref="B44" name="Range8_1"/>
    <protectedRange sqref="B44" name="Range7_1"/>
    <protectedRange sqref="B37" name="Range6_1_1_1"/>
    <protectedRange sqref="B33:D33 C29:G32" name="Range2_1_1"/>
    <protectedRange sqref="F33:G33" name="Range2_1_2"/>
    <protectedRange sqref="I33" name="Range3_1_1"/>
    <protectedRange sqref="E12:F12" name="Range3_1_2"/>
    <protectedRange sqref="E8:F9" name="Range3_1_1_1"/>
    <protectedRange sqref="E6:F7" name="Range3_1_3"/>
    <protectedRange sqref="D11:F11 C18 C10:F10 D19:D22 D17:F18 D8:D9 D12 C13:F16" name="Range3_1_5"/>
    <protectedRange sqref="C19:C23 E20:F20 E22:F23" name="Range3_1_6"/>
    <protectedRange sqref="E21:F21" name="Range3_1_3_1"/>
    <protectedRange sqref="E19:F19" name="Range3_1_4_1"/>
    <protectedRange sqref="D23 C24:F25" name="Range3_1_7"/>
    <protectedRange sqref="C11:C12" name="Range3_1_4"/>
    <protectedRange sqref="C17" name="Range3_1_8"/>
    <protectedRange sqref="I24:I25" name="Range3_1_9"/>
    <protectedRange sqref="E33" name="Range2_1_1_1"/>
    <protectedRange sqref="B29:B32" name="Range2_1_3"/>
  </protectedRanges>
  <mergeCells count="42">
    <mergeCell ref="E9:G9"/>
    <mergeCell ref="A1:G1"/>
    <mergeCell ref="B3:G3"/>
    <mergeCell ref="A5:A26"/>
    <mergeCell ref="E5:G5"/>
    <mergeCell ref="E6:G6"/>
    <mergeCell ref="E7:G7"/>
    <mergeCell ref="E8:G8"/>
    <mergeCell ref="E10:G10"/>
    <mergeCell ref="E23:G23"/>
    <mergeCell ref="E12:G12"/>
    <mergeCell ref="E11:G11"/>
    <mergeCell ref="E13:G13"/>
    <mergeCell ref="E14:G14"/>
    <mergeCell ref="A50:A52"/>
    <mergeCell ref="B50:G52"/>
    <mergeCell ref="E26:G26"/>
    <mergeCell ref="A28:A35"/>
    <mergeCell ref="F28:G28"/>
    <mergeCell ref="F29:G29"/>
    <mergeCell ref="F30:G30"/>
    <mergeCell ref="F31:G31"/>
    <mergeCell ref="F32:G32"/>
    <mergeCell ref="F33:G33"/>
    <mergeCell ref="F34:G34"/>
    <mergeCell ref="F35:G35"/>
    <mergeCell ref="A37:A42"/>
    <mergeCell ref="A44:A46"/>
    <mergeCell ref="B48:G48"/>
    <mergeCell ref="B37:G42"/>
    <mergeCell ref="B54:G54"/>
    <mergeCell ref="E15:G15"/>
    <mergeCell ref="E20:G20"/>
    <mergeCell ref="E21:G21"/>
    <mergeCell ref="E24:G24"/>
    <mergeCell ref="E25:G25"/>
    <mergeCell ref="B44:G46"/>
    <mergeCell ref="E17:G17"/>
    <mergeCell ref="E18:G18"/>
    <mergeCell ref="E19:G19"/>
    <mergeCell ref="E22:G22"/>
    <mergeCell ref="E16:G16"/>
  </mergeCells>
  <dataValidations count="2">
    <dataValidation type="list" allowBlank="1" showInputMessage="1" showErrorMessage="1" sqref="C29:C35" xr:uid="{9991C134-31E9-4D9E-A403-A688257076E7}">
      <formula1>OrganisationType</formula1>
    </dataValidation>
    <dataValidation type="list" allowBlank="1" showInputMessage="1" showErrorMessage="1" sqref="B6:B26" xr:uid="{6E9E0D8D-AC1E-4F7C-BFA0-BA83AA30BE77}">
      <formula1>Descriptionofcost</formula1>
    </dataValidation>
  </dataValidations>
  <pageMargins left="0.23622047244094491" right="0.23622047244094491" top="0.74803149606299213" bottom="0.74803149606299213" header="0.31496062992125984" footer="0.31496062992125984"/>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65E3434-C154-4960-BB83-85C273187A2A}">
          <x14:formula1>
            <xm:f>'Y:\HoJFU\Working\Commissioner for Economic Planning &amp; Future Prosperity\LEP\LEP Funding Group\2020-21 Core Fund Grant\[LEP 20-21 Core Funding Application FINAL.xlsx]Sheet2'!#REF!</xm:f>
          </x14:formula1>
          <xm:sqref>F29:G35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4CB46-A57B-465D-B02F-AD0C93D9753F}">
  <sheetPr>
    <tabColor rgb="FF7030A0"/>
  </sheetPr>
  <dimension ref="A1:J68"/>
  <sheetViews>
    <sheetView topLeftCell="A40" workbookViewId="0">
      <selection activeCell="E7" sqref="E7"/>
    </sheetView>
  </sheetViews>
  <sheetFormatPr defaultRowHeight="15.75" x14ac:dyDescent="0.25"/>
  <cols>
    <col min="1" max="1" width="3.77734375" style="197" customWidth="1"/>
    <col min="2" max="2" width="14.77734375" style="197" customWidth="1"/>
    <col min="3" max="4" width="8.88671875" style="197"/>
    <col min="5" max="5" width="8.88671875" style="212"/>
    <col min="6" max="6" width="10" style="217" bestFit="1" customWidth="1"/>
    <col min="7" max="7" width="3.77734375" style="198" customWidth="1"/>
    <col min="8" max="8" width="25.6640625" style="197" customWidth="1"/>
    <col min="9" max="261" width="8.88671875" style="197"/>
    <col min="262" max="262" width="8.77734375" style="197" bestFit="1" customWidth="1"/>
    <col min="263" max="517" width="8.88671875" style="197"/>
    <col min="518" max="518" width="8.77734375" style="197" bestFit="1" customWidth="1"/>
    <col min="519" max="773" width="8.88671875" style="197"/>
    <col min="774" max="774" width="8.77734375" style="197" bestFit="1" customWidth="1"/>
    <col min="775" max="1029" width="8.88671875" style="197"/>
    <col min="1030" max="1030" width="8.77734375" style="197" bestFit="1" customWidth="1"/>
    <col min="1031" max="1285" width="8.88671875" style="197"/>
    <col min="1286" max="1286" width="8.77734375" style="197" bestFit="1" customWidth="1"/>
    <col min="1287" max="1541" width="8.88671875" style="197"/>
    <col min="1542" max="1542" width="8.77734375" style="197" bestFit="1" customWidth="1"/>
    <col min="1543" max="1797" width="8.88671875" style="197"/>
    <col min="1798" max="1798" width="8.77734375" style="197" bestFit="1" customWidth="1"/>
    <col min="1799" max="2053" width="8.88671875" style="197"/>
    <col min="2054" max="2054" width="8.77734375" style="197" bestFit="1" customWidth="1"/>
    <col min="2055" max="2309" width="8.88671875" style="197"/>
    <col min="2310" max="2310" width="8.77734375" style="197" bestFit="1" customWidth="1"/>
    <col min="2311" max="2565" width="8.88671875" style="197"/>
    <col min="2566" max="2566" width="8.77734375" style="197" bestFit="1" customWidth="1"/>
    <col min="2567" max="2821" width="8.88671875" style="197"/>
    <col min="2822" max="2822" width="8.77734375" style="197" bestFit="1" customWidth="1"/>
    <col min="2823" max="3077" width="8.88671875" style="197"/>
    <col min="3078" max="3078" width="8.77734375" style="197" bestFit="1" customWidth="1"/>
    <col min="3079" max="3333" width="8.88671875" style="197"/>
    <col min="3334" max="3334" width="8.77734375" style="197" bestFit="1" customWidth="1"/>
    <col min="3335" max="3589" width="8.88671875" style="197"/>
    <col min="3590" max="3590" width="8.77734375" style="197" bestFit="1" customWidth="1"/>
    <col min="3591" max="3845" width="8.88671875" style="197"/>
    <col min="3846" max="3846" width="8.77734375" style="197" bestFit="1" customWidth="1"/>
    <col min="3847" max="4101" width="8.88671875" style="197"/>
    <col min="4102" max="4102" width="8.77734375" style="197" bestFit="1" customWidth="1"/>
    <col min="4103" max="4357" width="8.88671875" style="197"/>
    <col min="4358" max="4358" width="8.77734375" style="197" bestFit="1" customWidth="1"/>
    <col min="4359" max="4613" width="8.88671875" style="197"/>
    <col min="4614" max="4614" width="8.77734375" style="197" bestFit="1" customWidth="1"/>
    <col min="4615" max="4869" width="8.88671875" style="197"/>
    <col min="4870" max="4870" width="8.77734375" style="197" bestFit="1" customWidth="1"/>
    <col min="4871" max="5125" width="8.88671875" style="197"/>
    <col min="5126" max="5126" width="8.77734375" style="197" bestFit="1" customWidth="1"/>
    <col min="5127" max="5381" width="8.88671875" style="197"/>
    <col min="5382" max="5382" width="8.77734375" style="197" bestFit="1" customWidth="1"/>
    <col min="5383" max="5637" width="8.88671875" style="197"/>
    <col min="5638" max="5638" width="8.77734375" style="197" bestFit="1" customWidth="1"/>
    <col min="5639" max="5893" width="8.88671875" style="197"/>
    <col min="5894" max="5894" width="8.77734375" style="197" bestFit="1" customWidth="1"/>
    <col min="5895" max="6149" width="8.88671875" style="197"/>
    <col min="6150" max="6150" width="8.77734375" style="197" bestFit="1" customWidth="1"/>
    <col min="6151" max="6405" width="8.88671875" style="197"/>
    <col min="6406" max="6406" width="8.77734375" style="197" bestFit="1" customWidth="1"/>
    <col min="6407" max="6661" width="8.88671875" style="197"/>
    <col min="6662" max="6662" width="8.77734375" style="197" bestFit="1" customWidth="1"/>
    <col min="6663" max="6917" width="8.88671875" style="197"/>
    <col min="6918" max="6918" width="8.77734375" style="197" bestFit="1" customWidth="1"/>
    <col min="6919" max="7173" width="8.88671875" style="197"/>
    <col min="7174" max="7174" width="8.77734375" style="197" bestFit="1" customWidth="1"/>
    <col min="7175" max="7429" width="8.88671875" style="197"/>
    <col min="7430" max="7430" width="8.77734375" style="197" bestFit="1" customWidth="1"/>
    <col min="7431" max="7685" width="8.88671875" style="197"/>
    <col min="7686" max="7686" width="8.77734375" style="197" bestFit="1" customWidth="1"/>
    <col min="7687" max="7941" width="8.88671875" style="197"/>
    <col min="7942" max="7942" width="8.77734375" style="197" bestFit="1" customWidth="1"/>
    <col min="7943" max="8197" width="8.88671875" style="197"/>
    <col min="8198" max="8198" width="8.77734375" style="197" bestFit="1" customWidth="1"/>
    <col min="8199" max="8453" width="8.88671875" style="197"/>
    <col min="8454" max="8454" width="8.77734375" style="197" bestFit="1" customWidth="1"/>
    <col min="8455" max="8709" width="8.88671875" style="197"/>
    <col min="8710" max="8710" width="8.77734375" style="197" bestFit="1" customWidth="1"/>
    <col min="8711" max="8965" width="8.88671875" style="197"/>
    <col min="8966" max="8966" width="8.77734375" style="197" bestFit="1" customWidth="1"/>
    <col min="8967" max="9221" width="8.88671875" style="197"/>
    <col min="9222" max="9222" width="8.77734375" style="197" bestFit="1" customWidth="1"/>
    <col min="9223" max="9477" width="8.88671875" style="197"/>
    <col min="9478" max="9478" width="8.77734375" style="197" bestFit="1" customWidth="1"/>
    <col min="9479" max="9733" width="8.88671875" style="197"/>
    <col min="9734" max="9734" width="8.77734375" style="197" bestFit="1" customWidth="1"/>
    <col min="9735" max="9989" width="8.88671875" style="197"/>
    <col min="9990" max="9990" width="8.77734375" style="197" bestFit="1" customWidth="1"/>
    <col min="9991" max="10245" width="8.88671875" style="197"/>
    <col min="10246" max="10246" width="8.77734375" style="197" bestFit="1" customWidth="1"/>
    <col min="10247" max="10501" width="8.88671875" style="197"/>
    <col min="10502" max="10502" width="8.77734375" style="197" bestFit="1" customWidth="1"/>
    <col min="10503" max="10757" width="8.88671875" style="197"/>
    <col min="10758" max="10758" width="8.77734375" style="197" bestFit="1" customWidth="1"/>
    <col min="10759" max="11013" width="8.88671875" style="197"/>
    <col min="11014" max="11014" width="8.77734375" style="197" bestFit="1" customWidth="1"/>
    <col min="11015" max="11269" width="8.88671875" style="197"/>
    <col min="11270" max="11270" width="8.77734375" style="197" bestFit="1" customWidth="1"/>
    <col min="11271" max="11525" width="8.88671875" style="197"/>
    <col min="11526" max="11526" width="8.77734375" style="197" bestFit="1" customWidth="1"/>
    <col min="11527" max="11781" width="8.88671875" style="197"/>
    <col min="11782" max="11782" width="8.77734375" style="197" bestFit="1" customWidth="1"/>
    <col min="11783" max="12037" width="8.88671875" style="197"/>
    <col min="12038" max="12038" width="8.77734375" style="197" bestFit="1" customWidth="1"/>
    <col min="12039" max="12293" width="8.88671875" style="197"/>
    <col min="12294" max="12294" width="8.77734375" style="197" bestFit="1" customWidth="1"/>
    <col min="12295" max="12549" width="8.88671875" style="197"/>
    <col min="12550" max="12550" width="8.77734375" style="197" bestFit="1" customWidth="1"/>
    <col min="12551" max="12805" width="8.88671875" style="197"/>
    <col min="12806" max="12806" width="8.77734375" style="197" bestFit="1" customWidth="1"/>
    <col min="12807" max="13061" width="8.88671875" style="197"/>
    <col min="13062" max="13062" width="8.77734375" style="197" bestFit="1" customWidth="1"/>
    <col min="13063" max="13317" width="8.88671875" style="197"/>
    <col min="13318" max="13318" width="8.77734375" style="197" bestFit="1" customWidth="1"/>
    <col min="13319" max="13573" width="8.88671875" style="197"/>
    <col min="13574" max="13574" width="8.77734375" style="197" bestFit="1" customWidth="1"/>
    <col min="13575" max="13829" width="8.88671875" style="197"/>
    <col min="13830" max="13830" width="8.77734375" style="197" bestFit="1" customWidth="1"/>
    <col min="13831" max="14085" width="8.88671875" style="197"/>
    <col min="14086" max="14086" width="8.77734375" style="197" bestFit="1" customWidth="1"/>
    <col min="14087" max="14341" width="8.88671875" style="197"/>
    <col min="14342" max="14342" width="8.77734375" style="197" bestFit="1" customWidth="1"/>
    <col min="14343" max="14597" width="8.88671875" style="197"/>
    <col min="14598" max="14598" width="8.77734375" style="197" bestFit="1" customWidth="1"/>
    <col min="14599" max="14853" width="8.88671875" style="197"/>
    <col min="14854" max="14854" width="8.77734375" style="197" bestFit="1" customWidth="1"/>
    <col min="14855" max="15109" width="8.88671875" style="197"/>
    <col min="15110" max="15110" width="8.77734375" style="197" bestFit="1" customWidth="1"/>
    <col min="15111" max="15365" width="8.88671875" style="197"/>
    <col min="15366" max="15366" width="8.77734375" style="197" bestFit="1" customWidth="1"/>
    <col min="15367" max="15621" width="8.88671875" style="197"/>
    <col min="15622" max="15622" width="8.77734375" style="197" bestFit="1" customWidth="1"/>
    <col min="15623" max="15877" width="8.88671875" style="197"/>
    <col min="15878" max="15878" width="8.77734375" style="197" bestFit="1" customWidth="1"/>
    <col min="15879" max="16133" width="8.88671875" style="197"/>
    <col min="16134" max="16134" width="8.77734375" style="197" bestFit="1" customWidth="1"/>
    <col min="16135" max="16384" width="8.88671875" style="197"/>
  </cols>
  <sheetData>
    <row r="1" spans="2:8" ht="20.25" x14ac:dyDescent="0.3">
      <c r="B1" s="376" t="s">
        <v>192</v>
      </c>
      <c r="C1" s="376"/>
      <c r="D1" s="376"/>
      <c r="E1" s="376"/>
      <c r="F1" s="376"/>
      <c r="G1" s="236" t="s">
        <v>228</v>
      </c>
      <c r="H1" s="235"/>
    </row>
    <row r="2" spans="2:8" ht="3" customHeight="1" x14ac:dyDescent="0.25"/>
    <row r="3" spans="2:8" ht="15" x14ac:dyDescent="0.2">
      <c r="E3" s="212" t="s">
        <v>146</v>
      </c>
      <c r="F3" s="199" t="s">
        <v>146</v>
      </c>
    </row>
    <row r="4" spans="2:8" x14ac:dyDescent="0.25">
      <c r="B4" s="201" t="s">
        <v>193</v>
      </c>
      <c r="F4" s="215"/>
    </row>
    <row r="5" spans="2:8" ht="6" customHeight="1" x14ac:dyDescent="0.25">
      <c r="B5" s="201"/>
      <c r="F5" s="215"/>
    </row>
    <row r="6" spans="2:8" ht="15" x14ac:dyDescent="0.2">
      <c r="B6" s="197" t="s">
        <v>194</v>
      </c>
      <c r="E6" s="212">
        <f>'Core Fund Grant WP'!L16</f>
        <v>382242</v>
      </c>
      <c r="F6" s="215"/>
    </row>
    <row r="7" spans="2:8" x14ac:dyDescent="0.25">
      <c r="B7" s="197" t="s">
        <v>206</v>
      </c>
      <c r="E7" s="212">
        <f>SUM('2021-22 Core Fund Grant Applicn'!E41:E42)</f>
        <v>285130.55499999999</v>
      </c>
    </row>
    <row r="8" spans="2:8" x14ac:dyDescent="0.25">
      <c r="B8" s="197" t="s">
        <v>244</v>
      </c>
      <c r="E8" s="228" t="e">
        <f>'2021-22 Core Fund Grant Applicn'!#REF!</f>
        <v>#REF!</v>
      </c>
      <c r="F8" s="221"/>
    </row>
    <row r="9" spans="2:8" x14ac:dyDescent="0.25">
      <c r="E9" s="213"/>
      <c r="F9" s="218"/>
    </row>
    <row r="10" spans="2:8" x14ac:dyDescent="0.25">
      <c r="F10" s="217" t="e">
        <f>SUM(E6:E9)</f>
        <v>#REF!</v>
      </c>
    </row>
    <row r="11" spans="2:8" ht="6" customHeight="1" x14ac:dyDescent="0.25"/>
    <row r="12" spans="2:8" x14ac:dyDescent="0.25">
      <c r="B12" s="201" t="s">
        <v>190</v>
      </c>
    </row>
    <row r="13" spans="2:8" ht="6" customHeight="1" x14ac:dyDescent="0.25">
      <c r="B13" s="201"/>
    </row>
    <row r="14" spans="2:8" x14ac:dyDescent="0.25">
      <c r="B14" s="197" t="s">
        <v>191</v>
      </c>
      <c r="F14" s="217">
        <f>SUM('2021-22 Core Fund Grant Applicn'!D21)</f>
        <v>21300</v>
      </c>
    </row>
    <row r="15" spans="2:8" ht="6" customHeight="1" x14ac:dyDescent="0.25"/>
    <row r="16" spans="2:8" x14ac:dyDescent="0.25">
      <c r="B16" s="201" t="s">
        <v>211</v>
      </c>
    </row>
    <row r="17" spans="2:6" ht="3" customHeight="1" x14ac:dyDescent="0.25"/>
    <row r="18" spans="2:6" x14ac:dyDescent="0.25">
      <c r="B18" s="229" t="s">
        <v>215</v>
      </c>
    </row>
    <row r="19" spans="2:6" x14ac:dyDescent="0.25">
      <c r="B19" s="156" t="s">
        <v>142</v>
      </c>
      <c r="E19" s="205" t="e">
        <f>'2021-22 Core Fund Grant Applicn'!#REF!</f>
        <v>#REF!</v>
      </c>
    </row>
    <row r="20" spans="2:6" x14ac:dyDescent="0.25">
      <c r="B20" s="197" t="s">
        <v>25</v>
      </c>
      <c r="E20" s="205">
        <f>'2021-22 Core Fund Grant Applicn'!D20</f>
        <v>20400</v>
      </c>
    </row>
    <row r="21" spans="2:6" x14ac:dyDescent="0.25">
      <c r="B21" s="197" t="s">
        <v>234</v>
      </c>
      <c r="E21" s="205" t="e">
        <f>'Core Fund Grant WP'!#REF!</f>
        <v>#REF!</v>
      </c>
    </row>
    <row r="22" spans="2:6" x14ac:dyDescent="0.25">
      <c r="B22" s="197" t="s">
        <v>224</v>
      </c>
      <c r="E22" s="205">
        <f>'Core Fund Grant WP'!L22</f>
        <v>2500</v>
      </c>
    </row>
    <row r="23" spans="2:6" x14ac:dyDescent="0.25">
      <c r="B23" s="197" t="s">
        <v>196</v>
      </c>
      <c r="E23" s="205">
        <f>'2021-22 Core Fund Grant Applicn'!D25</f>
        <v>20000</v>
      </c>
    </row>
    <row r="24" spans="2:6" x14ac:dyDescent="0.25">
      <c r="B24" s="197" t="s">
        <v>233</v>
      </c>
      <c r="E24" s="205">
        <f>'2021-22 Core Fund Grant Applicn'!D27</f>
        <v>10640</v>
      </c>
    </row>
    <row r="25" spans="2:6" x14ac:dyDescent="0.25">
      <c r="B25" s="197" t="s">
        <v>198</v>
      </c>
      <c r="E25" s="205">
        <f>'2021-22 Core Fund Grant Applicn'!D28</f>
        <v>4800</v>
      </c>
    </row>
    <row r="26" spans="2:6" x14ac:dyDescent="0.25">
      <c r="B26" s="197" t="s">
        <v>116</v>
      </c>
      <c r="E26" s="205">
        <f>'2021-22 Core Fund Grant Applicn'!D29</f>
        <v>4320</v>
      </c>
    </row>
    <row r="27" spans="2:6" x14ac:dyDescent="0.25">
      <c r="B27" s="197" t="s">
        <v>197</v>
      </c>
      <c r="E27" s="205">
        <f>'2021-22 Core Fund Grant Applicn'!D31</f>
        <v>3600</v>
      </c>
    </row>
    <row r="28" spans="2:6" x14ac:dyDescent="0.25">
      <c r="B28" s="197" t="s">
        <v>204</v>
      </c>
      <c r="E28" s="205">
        <f>'2021-22 Core Fund Grant Applicn'!D30</f>
        <v>12000</v>
      </c>
    </row>
    <row r="29" spans="2:6" x14ac:dyDescent="0.25">
      <c r="B29" s="197" t="s">
        <v>199</v>
      </c>
      <c r="E29" s="214">
        <f>'2021-22 Core Fund Grant Applicn'!D32</f>
        <v>1200</v>
      </c>
      <c r="F29" s="218"/>
    </row>
    <row r="30" spans="2:6" x14ac:dyDescent="0.25">
      <c r="B30" s="200"/>
      <c r="F30" s="217" t="e">
        <f>SUM(E19:E29)</f>
        <v>#REF!</v>
      </c>
    </row>
    <row r="31" spans="2:6" x14ac:dyDescent="0.25">
      <c r="B31" s="229" t="s">
        <v>212</v>
      </c>
    </row>
    <row r="32" spans="2:6" x14ac:dyDescent="0.25">
      <c r="B32" s="156" t="s">
        <v>64</v>
      </c>
      <c r="E32" s="205">
        <f>'2021-22 Core Fund Grant Applicn'!D19</f>
        <v>36000</v>
      </c>
    </row>
    <row r="33" spans="2:10" x14ac:dyDescent="0.25">
      <c r="B33" s="197" t="s">
        <v>195</v>
      </c>
      <c r="E33" s="214">
        <f>'2021-22 Core Fund Grant Applicn'!D24</f>
        <v>15000</v>
      </c>
      <c r="F33" s="218"/>
    </row>
    <row r="34" spans="2:10" x14ac:dyDescent="0.25">
      <c r="B34" s="200"/>
      <c r="F34" s="217">
        <f>SUM(E32:E33)</f>
        <v>51000</v>
      </c>
    </row>
    <row r="35" spans="2:10" x14ac:dyDescent="0.25">
      <c r="B35" s="229" t="s">
        <v>213</v>
      </c>
    </row>
    <row r="36" spans="2:10" x14ac:dyDescent="0.25">
      <c r="B36" s="197" t="s">
        <v>143</v>
      </c>
      <c r="E36" s="215"/>
      <c r="F36" s="219">
        <f>'2021-22 Core Fund Grant Applicn'!D17</f>
        <v>60000</v>
      </c>
    </row>
    <row r="37" spans="2:10" s="203" customFormat="1" x14ac:dyDescent="0.25">
      <c r="E37" s="216"/>
      <c r="F37" s="219"/>
      <c r="G37" s="204"/>
    </row>
    <row r="38" spans="2:10" s="203" customFormat="1" x14ac:dyDescent="0.25">
      <c r="B38" s="230" t="s">
        <v>214</v>
      </c>
      <c r="E38" s="216"/>
      <c r="F38" s="219"/>
      <c r="G38" s="204"/>
    </row>
    <row r="39" spans="2:10" x14ac:dyDescent="0.25">
      <c r="B39" s="197" t="s">
        <v>53</v>
      </c>
      <c r="E39" s="205">
        <f>'Core Fund Grant WP'!L37</f>
        <v>20000</v>
      </c>
      <c r="J39" s="203"/>
    </row>
    <row r="40" spans="2:10" x14ac:dyDescent="0.25">
      <c r="B40" s="197" t="s">
        <v>86</v>
      </c>
      <c r="E40" s="206">
        <f>'Core Fund Grant WP'!L38</f>
        <v>15000</v>
      </c>
      <c r="J40" s="203"/>
    </row>
    <row r="41" spans="2:10" ht="15.75" customHeight="1" x14ac:dyDescent="0.25">
      <c r="B41" s="377" t="s">
        <v>217</v>
      </c>
      <c r="C41" s="377"/>
      <c r="D41" s="377"/>
      <c r="E41" s="205">
        <f>'2021-22 Core Fund Grant Applicn'!D26</f>
        <v>9000</v>
      </c>
      <c r="J41" s="203"/>
    </row>
    <row r="42" spans="2:10" x14ac:dyDescent="0.25">
      <c r="B42" s="197" t="s">
        <v>216</v>
      </c>
      <c r="E42" s="207">
        <f>'Core Fund Grant WP'!L36</f>
        <v>7000</v>
      </c>
      <c r="F42" s="218"/>
      <c r="J42" s="203"/>
    </row>
    <row r="43" spans="2:10" x14ac:dyDescent="0.25">
      <c r="E43" s="215"/>
      <c r="F43" s="217">
        <f>SUM(E39:E42)</f>
        <v>51000</v>
      </c>
      <c r="J43" s="203"/>
    </row>
    <row r="44" spans="2:10" x14ac:dyDescent="0.25">
      <c r="J44" s="203"/>
    </row>
    <row r="45" spans="2:10" ht="16.5" thickBot="1" x14ac:dyDescent="0.3">
      <c r="B45" s="200" t="s">
        <v>203</v>
      </c>
      <c r="F45" s="220" t="e">
        <f>SUM(F4:F44)</f>
        <v>#REF!</v>
      </c>
    </row>
    <row r="46" spans="2:10" ht="16.5" thickTop="1" x14ac:dyDescent="0.25"/>
    <row r="47" spans="2:10" x14ac:dyDescent="0.25">
      <c r="B47" s="200" t="s">
        <v>89</v>
      </c>
    </row>
    <row r="48" spans="2:10" x14ac:dyDescent="0.25">
      <c r="B48" s="200"/>
    </row>
    <row r="49" spans="2:6" x14ac:dyDescent="0.25">
      <c r="B49" s="201" t="s">
        <v>208</v>
      </c>
    </row>
    <row r="50" spans="2:6" x14ac:dyDescent="0.25">
      <c r="B50" s="197" t="s">
        <v>201</v>
      </c>
      <c r="E50" s="212">
        <f>'Core Fund Grant WP'!L46</f>
        <v>0</v>
      </c>
    </row>
    <row r="51" spans="2:6" x14ac:dyDescent="0.25">
      <c r="B51" s="197" t="s">
        <v>202</v>
      </c>
      <c r="E51" s="228">
        <f>'Core Fund Grant WP'!L47</f>
        <v>0</v>
      </c>
    </row>
    <row r="52" spans="2:6" x14ac:dyDescent="0.25">
      <c r="B52" s="197" t="s">
        <v>189</v>
      </c>
      <c r="E52" s="212">
        <f>'Core Fund Grant WP'!L48</f>
        <v>0</v>
      </c>
      <c r="F52" s="221"/>
    </row>
    <row r="53" spans="2:6" x14ac:dyDescent="0.25">
      <c r="B53" s="197" t="s">
        <v>225</v>
      </c>
      <c r="E53" s="212">
        <f>'Core Fund Grant WP'!L49</f>
        <v>0</v>
      </c>
      <c r="F53" s="221"/>
    </row>
    <row r="54" spans="2:6" x14ac:dyDescent="0.25">
      <c r="B54" s="197" t="s">
        <v>219</v>
      </c>
      <c r="E54" s="250">
        <f>'Core Fund Grant WP'!L50</f>
        <v>0</v>
      </c>
      <c r="F54" s="218"/>
    </row>
    <row r="55" spans="2:6" x14ac:dyDescent="0.25">
      <c r="B55" s="200" t="s">
        <v>210</v>
      </c>
      <c r="F55" s="221">
        <f>SUM(E49:E54)</f>
        <v>0</v>
      </c>
    </row>
    <row r="57" spans="2:6" x14ac:dyDescent="0.25">
      <c r="B57" s="201" t="s">
        <v>205</v>
      </c>
    </row>
    <row r="58" spans="2:6" x14ac:dyDescent="0.25">
      <c r="B58" s="197" t="s">
        <v>29</v>
      </c>
      <c r="E58" s="212">
        <f>-'2021-22 Core Fund Grant Applicn'!E41</f>
        <v>-179710.85499999998</v>
      </c>
    </row>
    <row r="59" spans="2:6" x14ac:dyDescent="0.25">
      <c r="B59" s="197" t="s">
        <v>207</v>
      </c>
      <c r="E59" s="212">
        <f>-'2021-22 Core Fund Grant Applicn'!E42</f>
        <v>-105419.7</v>
      </c>
    </row>
    <row r="60" spans="2:6" x14ac:dyDescent="0.25">
      <c r="B60" s="197" t="s">
        <v>56</v>
      </c>
      <c r="E60" s="213" t="e">
        <f>-'2021-22 Core Fund Grant Applicn'!#REF!</f>
        <v>#REF!</v>
      </c>
      <c r="F60" s="218"/>
    </row>
    <row r="61" spans="2:6" x14ac:dyDescent="0.25">
      <c r="F61" s="217" t="e">
        <f>SUM(E58:E60)</f>
        <v>#REF!</v>
      </c>
    </row>
    <row r="62" spans="2:6" ht="6" customHeight="1" x14ac:dyDescent="0.25"/>
    <row r="63" spans="2:6" ht="16.5" thickBot="1" x14ac:dyDescent="0.3">
      <c r="B63" s="200" t="s">
        <v>209</v>
      </c>
      <c r="F63" s="220" t="e">
        <f>SUM(F55+F61)</f>
        <v>#REF!</v>
      </c>
    </row>
    <row r="64" spans="2:6" ht="16.5" thickTop="1" x14ac:dyDescent="0.25">
      <c r="B64" s="200"/>
      <c r="F64" s="221"/>
    </row>
    <row r="65" spans="1:7" ht="16.5" thickBot="1" x14ac:dyDescent="0.3">
      <c r="A65" s="242"/>
      <c r="B65" s="243"/>
      <c r="C65" s="242"/>
      <c r="D65" s="242"/>
      <c r="E65" s="246"/>
      <c r="F65" s="244"/>
      <c r="G65" s="245"/>
    </row>
    <row r="66" spans="1:7" x14ac:dyDescent="0.25">
      <c r="B66" s="200"/>
      <c r="F66" s="221"/>
    </row>
    <row r="67" spans="1:7" x14ac:dyDescent="0.25">
      <c r="B67" s="197" t="s">
        <v>223</v>
      </c>
      <c r="F67" s="240">
        <f>95296.04+E53</f>
        <v>95296.04</v>
      </c>
    </row>
    <row r="68" spans="1:7" x14ac:dyDescent="0.25">
      <c r="B68" s="197" t="s">
        <v>237</v>
      </c>
    </row>
  </sheetData>
  <protectedRanges>
    <protectedRange sqref="B32" name="Range3_1_3"/>
    <protectedRange sqref="B19" name="Range3_1_1_1"/>
    <protectedRange sqref="B41:C41" name="Range3_1_2_1"/>
  </protectedRanges>
  <mergeCells count="2">
    <mergeCell ref="B1:F1"/>
    <mergeCell ref="B41:D4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M84"/>
  <sheetViews>
    <sheetView topLeftCell="A47" zoomScale="80" zoomScaleNormal="80" workbookViewId="0">
      <selection activeCell="B41" sqref="B41:B44"/>
    </sheetView>
  </sheetViews>
  <sheetFormatPr defaultRowHeight="15" x14ac:dyDescent="0.2"/>
  <cols>
    <col min="1" max="1" width="47.21875" customWidth="1"/>
    <col min="2" max="2" width="25.88671875" customWidth="1"/>
    <col min="3" max="3" width="29.109375" customWidth="1"/>
    <col min="4" max="4" width="18.44140625" style="22" customWidth="1"/>
    <col min="5" max="5" width="16.5546875" style="21" customWidth="1"/>
    <col min="6" max="6" width="12.88671875" customWidth="1"/>
    <col min="7" max="7" width="32.6640625" customWidth="1"/>
    <col min="8" max="8" width="1.77734375" customWidth="1"/>
    <col min="9" max="9" width="13.21875" customWidth="1"/>
    <col min="12" max="12" width="11" bestFit="1" customWidth="1"/>
  </cols>
  <sheetData>
    <row r="1" spans="1:8" ht="26.25" x14ac:dyDescent="0.4">
      <c r="A1" s="2" t="s">
        <v>18</v>
      </c>
      <c r="E1" s="444" t="s">
        <v>342</v>
      </c>
      <c r="F1" s="444"/>
      <c r="G1" s="444"/>
    </row>
    <row r="2" spans="1:8" ht="15.75" x14ac:dyDescent="0.25">
      <c r="A2" s="2" t="s">
        <v>409</v>
      </c>
    </row>
    <row r="3" spans="1:8" ht="16.5" thickBot="1" x14ac:dyDescent="0.3">
      <c r="A3" s="2"/>
      <c r="H3" s="44"/>
    </row>
    <row r="4" spans="1:8" ht="36" customHeight="1" thickBot="1" x14ac:dyDescent="0.25">
      <c r="A4" s="39" t="s">
        <v>5</v>
      </c>
      <c r="B4" s="475" t="s">
        <v>22</v>
      </c>
      <c r="C4" s="476"/>
      <c r="D4" s="476"/>
      <c r="E4" s="476"/>
      <c r="F4" s="476"/>
      <c r="G4" s="477"/>
    </row>
    <row r="5" spans="1:8" ht="42.75" customHeight="1" thickBot="1" x14ac:dyDescent="0.25">
      <c r="A5" s="40" t="s">
        <v>20</v>
      </c>
      <c r="B5" s="478" t="s">
        <v>348</v>
      </c>
      <c r="C5" s="479"/>
      <c r="D5" s="479"/>
      <c r="E5" s="479"/>
      <c r="F5" s="479"/>
      <c r="G5" s="480"/>
      <c r="H5" s="145"/>
    </row>
    <row r="6" spans="1:8" ht="35.450000000000003" customHeight="1" thickBot="1" x14ac:dyDescent="0.25">
      <c r="A6" s="41" t="s">
        <v>6</v>
      </c>
      <c r="B6" s="481" t="s">
        <v>349</v>
      </c>
      <c r="C6" s="482"/>
      <c r="D6" s="482"/>
      <c r="E6" s="482"/>
      <c r="F6" s="482"/>
      <c r="G6" s="483"/>
    </row>
    <row r="7" spans="1:8" ht="114" customHeight="1" thickBot="1" x14ac:dyDescent="0.25">
      <c r="A7" s="42" t="s">
        <v>408</v>
      </c>
      <c r="B7" s="484" t="s">
        <v>350</v>
      </c>
      <c r="C7" s="485"/>
      <c r="D7" s="485"/>
      <c r="E7" s="485"/>
      <c r="F7" s="485"/>
      <c r="G7" s="486"/>
      <c r="H7" s="145"/>
    </row>
    <row r="8" spans="1:8" ht="18.399999999999999" customHeight="1" thickBot="1" x14ac:dyDescent="0.3">
      <c r="A8" s="445"/>
      <c r="B8" s="446"/>
      <c r="C8" s="446"/>
      <c r="D8" s="446"/>
      <c r="E8" s="446"/>
      <c r="F8" s="446"/>
      <c r="G8" s="446"/>
    </row>
    <row r="9" spans="1:8" ht="47.65" customHeight="1" thickBot="1" x14ac:dyDescent="0.25">
      <c r="A9" s="463" t="s">
        <v>407</v>
      </c>
      <c r="B9" s="11" t="s">
        <v>19</v>
      </c>
      <c r="C9" s="12" t="s">
        <v>7</v>
      </c>
      <c r="D9" s="23" t="s">
        <v>8</v>
      </c>
      <c r="E9" s="490" t="s">
        <v>4</v>
      </c>
      <c r="F9" s="491"/>
      <c r="G9" s="492"/>
    </row>
    <row r="10" spans="1:8" s="21" customFormat="1" ht="38.85" customHeight="1" x14ac:dyDescent="0.25">
      <c r="A10" s="464"/>
      <c r="B10" s="20"/>
      <c r="C10" s="29" t="s">
        <v>23</v>
      </c>
      <c r="D10" s="139"/>
      <c r="E10" s="493"/>
      <c r="F10" s="493"/>
      <c r="G10" s="493"/>
    </row>
    <row r="11" spans="1:8" x14ac:dyDescent="0.2">
      <c r="A11" s="464"/>
      <c r="B11" s="9"/>
      <c r="C11" s="15"/>
      <c r="D11" s="140"/>
      <c r="E11" s="494"/>
      <c r="F11" s="494"/>
      <c r="G11" s="494"/>
    </row>
    <row r="12" spans="1:8" x14ac:dyDescent="0.2">
      <c r="A12" s="464"/>
      <c r="B12" s="9" t="s">
        <v>97</v>
      </c>
      <c r="C12" s="15" t="s">
        <v>92</v>
      </c>
      <c r="D12" s="160">
        <f>'SSLEP Budget 21-22 '!F5+'SSLEP Budget 21-22 '!F7-'SSLEP Budget 21-22 '!D87</f>
        <v>693820.95500000007</v>
      </c>
      <c r="E12" s="487" t="s">
        <v>54</v>
      </c>
      <c r="F12" s="488"/>
      <c r="G12" s="489"/>
    </row>
    <row r="13" spans="1:8" x14ac:dyDescent="0.2">
      <c r="A13" s="464"/>
      <c r="B13" s="9"/>
      <c r="C13" s="15"/>
      <c r="D13" s="142"/>
      <c r="E13" s="462"/>
      <c r="F13" s="462"/>
      <c r="G13" s="462"/>
    </row>
    <row r="14" spans="1:8" ht="31.35" customHeight="1" x14ac:dyDescent="0.2">
      <c r="A14" s="464"/>
      <c r="B14" s="9" t="s">
        <v>13</v>
      </c>
      <c r="C14" s="15" t="s">
        <v>56</v>
      </c>
      <c r="D14" s="143">
        <f>'SSLEP Budget 21-22 '!D87</f>
        <v>50000</v>
      </c>
      <c r="E14" s="487" t="s">
        <v>37</v>
      </c>
      <c r="F14" s="488"/>
      <c r="G14" s="489"/>
      <c r="H14" s="44"/>
    </row>
    <row r="15" spans="1:8" x14ac:dyDescent="0.2">
      <c r="A15" s="464"/>
      <c r="B15" s="9"/>
      <c r="C15" s="15"/>
      <c r="D15" s="142"/>
      <c r="E15" s="462"/>
      <c r="F15" s="462"/>
      <c r="G15" s="462"/>
    </row>
    <row r="16" spans="1:8" ht="31.5" x14ac:dyDescent="0.25">
      <c r="A16" s="464"/>
      <c r="B16" s="9"/>
      <c r="C16" s="30" t="s">
        <v>24</v>
      </c>
      <c r="D16" s="142"/>
      <c r="E16" s="462"/>
      <c r="F16" s="462"/>
      <c r="G16" s="462"/>
    </row>
    <row r="17" spans="1:9" x14ac:dyDescent="0.2">
      <c r="A17" s="464"/>
      <c r="B17" s="9" t="s">
        <v>13</v>
      </c>
      <c r="C17" s="75" t="s">
        <v>329</v>
      </c>
      <c r="D17" s="132">
        <f>'Core Fund Grant WP'!N19</f>
        <v>60000</v>
      </c>
      <c r="E17" s="472" t="s">
        <v>144</v>
      </c>
      <c r="F17" s="473"/>
      <c r="G17" s="474"/>
      <c r="H17" s="45"/>
    </row>
    <row r="18" spans="1:9" ht="15" customHeight="1" x14ac:dyDescent="0.2">
      <c r="A18" s="464"/>
      <c r="B18" s="9" t="s">
        <v>267</v>
      </c>
      <c r="C18" s="152" t="s">
        <v>98</v>
      </c>
      <c r="D18" s="144">
        <f>'Core Fund Grant WP'!N37+'Core Fund Grant WP'!N38+'Core Fund Grant WP'!N36</f>
        <v>50400</v>
      </c>
      <c r="E18" s="459" t="s">
        <v>95</v>
      </c>
      <c r="F18" s="460"/>
      <c r="G18" s="461"/>
    </row>
    <row r="19" spans="1:9" x14ac:dyDescent="0.2">
      <c r="A19" s="464"/>
      <c r="B19" s="9" t="s">
        <v>13</v>
      </c>
      <c r="C19" s="75" t="s">
        <v>64</v>
      </c>
      <c r="D19" s="132">
        <f>'Core Fund Grant WP'!N20</f>
        <v>36000</v>
      </c>
      <c r="E19" s="456" t="s">
        <v>83</v>
      </c>
      <c r="F19" s="457"/>
      <c r="G19" s="458"/>
    </row>
    <row r="20" spans="1:9" ht="31.5" customHeight="1" x14ac:dyDescent="0.2">
      <c r="A20" s="464"/>
      <c r="B20" s="9" t="s">
        <v>13</v>
      </c>
      <c r="C20" s="152" t="s">
        <v>25</v>
      </c>
      <c r="D20" s="141">
        <f>'Core Fund Grant WP'!N25+'Core Fund Grant WP'!N23</f>
        <v>20400</v>
      </c>
      <c r="E20" s="462" t="s">
        <v>269</v>
      </c>
      <c r="F20" s="462"/>
      <c r="G20" s="462"/>
    </row>
    <row r="21" spans="1:9" x14ac:dyDescent="0.2">
      <c r="A21" s="464"/>
      <c r="B21" s="9" t="s">
        <v>14</v>
      </c>
      <c r="C21" s="75" t="s">
        <v>28</v>
      </c>
      <c r="D21" s="132">
        <f>'Core Fund Grant WP'!N21</f>
        <v>21300</v>
      </c>
      <c r="E21" s="469" t="s">
        <v>96</v>
      </c>
      <c r="F21" s="470"/>
      <c r="G21" s="471"/>
    </row>
    <row r="22" spans="1:9" x14ac:dyDescent="0.2">
      <c r="A22" s="464"/>
      <c r="B22" s="9" t="s">
        <v>268</v>
      </c>
      <c r="C22" s="38" t="s">
        <v>224</v>
      </c>
      <c r="D22" s="132">
        <f>'Core Fund Grant WP'!N22</f>
        <v>3000</v>
      </c>
      <c r="E22" s="360" t="s">
        <v>229</v>
      </c>
      <c r="F22" s="356"/>
      <c r="G22" s="357"/>
    </row>
    <row r="23" spans="1:9" x14ac:dyDescent="0.2">
      <c r="A23" s="464"/>
      <c r="B23" s="316" t="s">
        <v>268</v>
      </c>
      <c r="C23" s="317" t="s">
        <v>320</v>
      </c>
      <c r="D23" s="132">
        <f>'Core Fund Grant WP'!N33</f>
        <v>4338</v>
      </c>
      <c r="E23" s="360" t="s">
        <v>321</v>
      </c>
      <c r="F23" s="356"/>
      <c r="G23" s="357"/>
      <c r="I23" t="s">
        <v>319</v>
      </c>
    </row>
    <row r="24" spans="1:9" ht="15" customHeight="1" x14ac:dyDescent="0.2">
      <c r="A24" s="464"/>
      <c r="B24" s="9" t="s">
        <v>13</v>
      </c>
      <c r="C24" s="135" t="s">
        <v>93</v>
      </c>
      <c r="D24" s="163">
        <f>'Core Fund Grant WP'!N40</f>
        <v>15000</v>
      </c>
      <c r="E24" s="459" t="s">
        <v>94</v>
      </c>
      <c r="F24" s="460"/>
      <c r="G24" s="461"/>
    </row>
    <row r="25" spans="1:9" x14ac:dyDescent="0.2">
      <c r="A25" s="464"/>
      <c r="B25" s="9" t="s">
        <v>13</v>
      </c>
      <c r="C25" s="16" t="s">
        <v>117</v>
      </c>
      <c r="D25" s="132">
        <f>'Core Fund Grant WP'!N24</f>
        <v>20000</v>
      </c>
      <c r="E25" s="487" t="s">
        <v>136</v>
      </c>
      <c r="F25" s="488"/>
      <c r="G25" s="489"/>
    </row>
    <row r="26" spans="1:9" x14ac:dyDescent="0.2">
      <c r="A26" s="464"/>
      <c r="B26" s="9" t="s">
        <v>13</v>
      </c>
      <c r="C26" s="152" t="s">
        <v>35</v>
      </c>
      <c r="D26" s="161">
        <f>'Core Fund Grant WP'!N39</f>
        <v>9000</v>
      </c>
      <c r="E26" s="456" t="s">
        <v>135</v>
      </c>
      <c r="F26" s="457"/>
      <c r="G26" s="458"/>
      <c r="H26" s="44"/>
    </row>
    <row r="27" spans="1:9" x14ac:dyDescent="0.2">
      <c r="A27" s="464"/>
      <c r="B27" s="9" t="s">
        <v>13</v>
      </c>
      <c r="C27" s="75" t="s">
        <v>139</v>
      </c>
      <c r="D27" s="132">
        <f>'Core Fund Grant WP'!N27</f>
        <v>10640</v>
      </c>
      <c r="E27" s="202" t="s">
        <v>140</v>
      </c>
      <c r="F27" s="358"/>
      <c r="G27" s="359"/>
      <c r="H27" s="44"/>
    </row>
    <row r="28" spans="1:9" x14ac:dyDescent="0.2">
      <c r="A28" s="464"/>
      <c r="B28" s="9" t="s">
        <v>13</v>
      </c>
      <c r="C28" s="73" t="s">
        <v>137</v>
      </c>
      <c r="D28" s="141">
        <f>'Core Fund Grant WP'!N26</f>
        <v>4800</v>
      </c>
      <c r="E28" s="456" t="s">
        <v>138</v>
      </c>
      <c r="F28" s="457"/>
      <c r="G28" s="458"/>
      <c r="H28" s="44"/>
    </row>
    <row r="29" spans="1:9" x14ac:dyDescent="0.2">
      <c r="A29" s="464"/>
      <c r="B29" s="9" t="s">
        <v>13</v>
      </c>
      <c r="C29" s="75" t="s">
        <v>116</v>
      </c>
      <c r="D29" s="132">
        <f>'Core Fund Grant WP'!N28</f>
        <v>4320</v>
      </c>
      <c r="E29" s="355" t="s">
        <v>116</v>
      </c>
      <c r="F29" s="356"/>
      <c r="G29" s="357"/>
      <c r="H29" s="44"/>
    </row>
    <row r="30" spans="1:9" x14ac:dyDescent="0.2">
      <c r="A30" s="464"/>
      <c r="B30" s="9" t="s">
        <v>13</v>
      </c>
      <c r="C30" s="75" t="s">
        <v>26</v>
      </c>
      <c r="D30" s="132">
        <f>'Core Fund Grant WP'!N29</f>
        <v>12000</v>
      </c>
      <c r="E30" s="456" t="s">
        <v>27</v>
      </c>
      <c r="F30" s="457"/>
      <c r="G30" s="458"/>
      <c r="H30" s="45"/>
    </row>
    <row r="31" spans="1:9" x14ac:dyDescent="0.2">
      <c r="A31" s="464"/>
      <c r="B31" s="9" t="s">
        <v>13</v>
      </c>
      <c r="C31" s="152" t="s">
        <v>141</v>
      </c>
      <c r="D31" s="132">
        <f>'Core Fund Grant WP'!N30+'Core Fund Grant WP'!N31</f>
        <v>3600</v>
      </c>
      <c r="E31" s="202" t="s">
        <v>145</v>
      </c>
      <c r="F31" s="358"/>
      <c r="G31" s="359"/>
      <c r="H31" s="45"/>
    </row>
    <row r="32" spans="1:9" x14ac:dyDescent="0.2">
      <c r="A32" s="464"/>
      <c r="B32" s="9" t="s">
        <v>13</v>
      </c>
      <c r="C32" s="75" t="s">
        <v>133</v>
      </c>
      <c r="D32" s="132">
        <f>'Core Fund Grant WP'!N32</f>
        <v>1200</v>
      </c>
      <c r="E32" s="456" t="s">
        <v>200</v>
      </c>
      <c r="F32" s="457"/>
      <c r="G32" s="458"/>
      <c r="H32" s="45"/>
    </row>
    <row r="33" spans="1:13" x14ac:dyDescent="0.2">
      <c r="A33" s="464"/>
      <c r="B33" s="9" t="s">
        <v>13</v>
      </c>
      <c r="C33" s="225" t="s">
        <v>134</v>
      </c>
      <c r="D33" s="226">
        <f>'Core Fund Grant WP'!N47</f>
        <v>-55190.400000000001</v>
      </c>
      <c r="E33" s="466" t="s">
        <v>415</v>
      </c>
      <c r="F33" s="467"/>
      <c r="G33" s="468"/>
      <c r="H33" s="45"/>
    </row>
    <row r="34" spans="1:13" x14ac:dyDescent="0.2">
      <c r="A34" s="464"/>
      <c r="B34" s="9" t="s">
        <v>13</v>
      </c>
      <c r="C34" s="168" t="s">
        <v>134</v>
      </c>
      <c r="D34" s="238">
        <f>'Core Fund Grant WP'!N49</f>
        <v>-76188</v>
      </c>
      <c r="E34" s="466" t="s">
        <v>416</v>
      </c>
      <c r="F34" s="467"/>
      <c r="G34" s="468"/>
      <c r="H34" s="45"/>
    </row>
    <row r="35" spans="1:13" ht="16.5" thickBot="1" x14ac:dyDescent="0.3">
      <c r="A35" s="465"/>
      <c r="B35" s="10"/>
      <c r="C35" s="17"/>
      <c r="D35" s="345">
        <f>SUM(D10:D34)</f>
        <v>888440.55500000005</v>
      </c>
      <c r="E35" s="534"/>
      <c r="F35" s="534"/>
      <c r="G35" s="534"/>
      <c r="H35" s="65"/>
      <c r="I35" s="362">
        <f>500000+E53</f>
        <v>888440.55499999993</v>
      </c>
      <c r="J35" s="363" t="s">
        <v>243</v>
      </c>
    </row>
    <row r="36" spans="1:13" ht="51" customHeight="1" thickBot="1" x14ac:dyDescent="0.3">
      <c r="A36" s="13"/>
      <c r="B36" s="32"/>
      <c r="C36" s="14"/>
      <c r="D36" s="33"/>
      <c r="E36" s="14"/>
      <c r="F36" s="14"/>
      <c r="G36" s="14"/>
      <c r="H36" s="65"/>
      <c r="I36" s="159">
        <f>D35-I35</f>
        <v>0</v>
      </c>
      <c r="J36" s="301"/>
      <c r="K36" s="301"/>
      <c r="L36" s="301"/>
      <c r="M36" s="301"/>
    </row>
    <row r="37" spans="1:13" ht="54.4" customHeight="1" thickBot="1" x14ac:dyDescent="0.25">
      <c r="A37" s="531" t="s">
        <v>393</v>
      </c>
      <c r="B37" s="532"/>
      <c r="C37" s="532"/>
      <c r="D37" s="532"/>
      <c r="E37" s="532"/>
      <c r="F37" s="532"/>
      <c r="G37" s="533"/>
      <c r="H37" s="45"/>
      <c r="J37" s="297"/>
      <c r="K37" s="297"/>
      <c r="L37" s="297"/>
      <c r="M37" s="297"/>
    </row>
    <row r="38" spans="1:13" x14ac:dyDescent="0.2">
      <c r="A38" s="13"/>
      <c r="B38" s="32"/>
      <c r="D38" s="33"/>
      <c r="E38" s="14"/>
      <c r="F38" s="14"/>
      <c r="G38" s="14"/>
    </row>
    <row r="39" spans="1:13" ht="15.75" thickBot="1" x14ac:dyDescent="0.25"/>
    <row r="40" spans="1:13" ht="66.2" customHeight="1" thickBot="1" x14ac:dyDescent="0.25">
      <c r="A40" s="447" t="s">
        <v>403</v>
      </c>
      <c r="B40" s="11" t="s">
        <v>0</v>
      </c>
      <c r="C40" s="11" t="s">
        <v>1</v>
      </c>
      <c r="D40" s="23" t="s">
        <v>2</v>
      </c>
      <c r="E40" s="31" t="s">
        <v>3</v>
      </c>
      <c r="F40" s="513" t="s">
        <v>4</v>
      </c>
      <c r="G40" s="514"/>
    </row>
    <row r="41" spans="1:13" ht="16.5" customHeight="1" x14ac:dyDescent="0.25">
      <c r="A41" s="448"/>
      <c r="B41" s="36" t="s">
        <v>29</v>
      </c>
      <c r="C41" s="37" t="s">
        <v>11</v>
      </c>
      <c r="D41" s="24"/>
      <c r="E41" s="148">
        <f>'SCC Match Funding'!E10+'SSLEP Budget 21-22 '!C87</f>
        <v>179710.85499999998</v>
      </c>
      <c r="F41" s="515" t="s">
        <v>411</v>
      </c>
      <c r="G41" s="516"/>
      <c r="H41" s="64"/>
    </row>
    <row r="42" spans="1:13" ht="15.75" x14ac:dyDescent="0.25">
      <c r="A42" s="448"/>
      <c r="B42" s="66" t="s">
        <v>30</v>
      </c>
      <c r="C42" s="38" t="s">
        <v>11</v>
      </c>
      <c r="D42" s="25"/>
      <c r="E42" s="149">
        <f>'SoTCC Match Funding (TBC)'!E8+'SSLEP Budget 21-22 '!B87</f>
        <v>105419.7</v>
      </c>
      <c r="F42" s="515" t="s">
        <v>412</v>
      </c>
      <c r="G42" s="516"/>
      <c r="H42" s="64"/>
      <c r="I42" s="275"/>
    </row>
    <row r="43" spans="1:13" s="275" customFormat="1" ht="15.75" x14ac:dyDescent="0.25">
      <c r="A43" s="448"/>
      <c r="B43" s="225" t="s">
        <v>242</v>
      </c>
      <c r="C43" s="368" t="s">
        <v>405</v>
      </c>
      <c r="D43" s="369"/>
      <c r="E43" s="370">
        <f>'Chamber of Commerce Match Fund'!E6</f>
        <v>13000</v>
      </c>
      <c r="F43" s="454" t="s">
        <v>413</v>
      </c>
      <c r="G43" s="455"/>
    </row>
    <row r="44" spans="1:13" s="275" customFormat="1" ht="15.75" x14ac:dyDescent="0.25">
      <c r="A44" s="448"/>
      <c r="B44" s="371" t="s">
        <v>29</v>
      </c>
      <c r="C44" s="368" t="s">
        <v>405</v>
      </c>
      <c r="D44" s="369"/>
      <c r="E44" s="370">
        <f>-'SSLEP Budget 21-22 '!E47</f>
        <v>90310</v>
      </c>
      <c r="F44" s="454" t="s">
        <v>414</v>
      </c>
      <c r="G44" s="455"/>
    </row>
    <row r="45" spans="1:13" ht="150" x14ac:dyDescent="0.2">
      <c r="A45" s="448"/>
      <c r="B45" s="150" t="s">
        <v>31</v>
      </c>
      <c r="C45" s="38" t="s">
        <v>13</v>
      </c>
      <c r="D45" s="25"/>
      <c r="E45" s="34"/>
      <c r="F45" s="452"/>
      <c r="G45" s="453"/>
    </row>
    <row r="46" spans="1:13" ht="45" x14ac:dyDescent="0.2">
      <c r="A46" s="448"/>
      <c r="B46" s="150" t="s">
        <v>36</v>
      </c>
      <c r="C46" s="38" t="s">
        <v>12</v>
      </c>
      <c r="D46" s="25"/>
      <c r="E46" s="34"/>
      <c r="F46" s="452"/>
      <c r="G46" s="453"/>
    </row>
    <row r="47" spans="1:13" ht="90" x14ac:dyDescent="0.2">
      <c r="A47" s="448"/>
      <c r="B47" s="150" t="s">
        <v>32</v>
      </c>
      <c r="C47" s="38" t="s">
        <v>12</v>
      </c>
      <c r="D47" s="25"/>
      <c r="E47" s="34"/>
      <c r="F47" s="452"/>
      <c r="G47" s="453"/>
    </row>
    <row r="48" spans="1:13" x14ac:dyDescent="0.2">
      <c r="A48" s="448"/>
      <c r="B48" s="150"/>
      <c r="C48" s="38"/>
      <c r="D48" s="25"/>
      <c r="E48" s="34"/>
      <c r="F48" s="452"/>
      <c r="G48" s="453"/>
    </row>
    <row r="49" spans="1:10" ht="79.5" customHeight="1" x14ac:dyDescent="0.2">
      <c r="A49" s="448"/>
      <c r="B49" s="150" t="s">
        <v>33</v>
      </c>
      <c r="C49" s="38" t="s">
        <v>12</v>
      </c>
      <c r="D49" s="25"/>
      <c r="E49" s="34"/>
      <c r="F49" s="452"/>
      <c r="G49" s="453"/>
    </row>
    <row r="50" spans="1:10" x14ac:dyDescent="0.2">
      <c r="A50" s="448"/>
      <c r="B50" s="150"/>
      <c r="C50" s="38"/>
      <c r="D50" s="25"/>
      <c r="E50" s="34"/>
      <c r="F50" s="452"/>
      <c r="G50" s="453"/>
    </row>
    <row r="51" spans="1:10" ht="90" x14ac:dyDescent="0.2">
      <c r="A51" s="448"/>
      <c r="B51" s="150" t="s">
        <v>34</v>
      </c>
      <c r="C51" s="38"/>
      <c r="D51" s="25"/>
      <c r="E51" s="34"/>
      <c r="F51" s="452"/>
      <c r="G51" s="453"/>
    </row>
    <row r="52" spans="1:10" ht="15.75" x14ac:dyDescent="0.25">
      <c r="A52" s="449"/>
      <c r="B52" s="18"/>
      <c r="C52" s="9"/>
      <c r="D52" s="26"/>
      <c r="E52" s="35"/>
      <c r="F52" s="530"/>
      <c r="G52" s="530"/>
      <c r="I52" s="43" t="s">
        <v>67</v>
      </c>
    </row>
    <row r="53" spans="1:10" ht="16.5" thickBot="1" x14ac:dyDescent="0.3">
      <c r="A53" s="449"/>
      <c r="B53" s="19"/>
      <c r="C53" s="10"/>
      <c r="D53" s="27"/>
      <c r="E53" s="146">
        <f>SUM(E41:E51)</f>
        <v>388440.55499999999</v>
      </c>
      <c r="F53" s="450"/>
      <c r="G53" s="451"/>
      <c r="I53" s="80" t="s">
        <v>66</v>
      </c>
      <c r="J53" s="74">
        <f>250000-E53</f>
        <v>-138440.55499999999</v>
      </c>
    </row>
    <row r="54" spans="1:10" x14ac:dyDescent="0.2">
      <c r="I54" s="44"/>
    </row>
    <row r="55" spans="1:10" ht="15.75" thickBot="1" x14ac:dyDescent="0.25"/>
    <row r="56" spans="1:10" ht="48" customHeight="1" thickBot="1" x14ac:dyDescent="0.25">
      <c r="A56" s="1" t="s">
        <v>410</v>
      </c>
      <c r="B56" s="510" t="s">
        <v>107</v>
      </c>
      <c r="C56" s="511"/>
      <c r="D56" s="512"/>
    </row>
    <row r="57" spans="1:10" ht="15.75" thickBot="1" x14ac:dyDescent="0.25">
      <c r="A57" s="3"/>
      <c r="B57" s="507"/>
      <c r="C57" s="508"/>
      <c r="D57" s="509"/>
    </row>
    <row r="58" spans="1:10" ht="109.5" customHeight="1" thickBot="1" x14ac:dyDescent="0.25">
      <c r="A58" s="1" t="s">
        <v>17</v>
      </c>
      <c r="B58" s="529" t="s">
        <v>346</v>
      </c>
      <c r="C58" s="529"/>
      <c r="D58" s="529"/>
    </row>
    <row r="59" spans="1:10" x14ac:dyDescent="0.2">
      <c r="A59" s="3"/>
    </row>
    <row r="60" spans="1:10" ht="15.75" thickBot="1" x14ac:dyDescent="0.25">
      <c r="A60" s="4"/>
    </row>
    <row r="61" spans="1:10" x14ac:dyDescent="0.2">
      <c r="A61" s="495" t="s">
        <v>21</v>
      </c>
      <c r="B61" s="517" t="s">
        <v>347</v>
      </c>
      <c r="C61" s="518"/>
      <c r="D61" s="519"/>
    </row>
    <row r="62" spans="1:10" x14ac:dyDescent="0.2">
      <c r="A62" s="496"/>
      <c r="B62" s="520"/>
      <c r="C62" s="521"/>
      <c r="D62" s="522"/>
    </row>
    <row r="63" spans="1:10" x14ac:dyDescent="0.2">
      <c r="A63" s="496"/>
      <c r="B63" s="520"/>
      <c r="C63" s="521"/>
      <c r="D63" s="522"/>
    </row>
    <row r="64" spans="1:10" x14ac:dyDescent="0.2">
      <c r="A64" s="496"/>
      <c r="B64" s="520"/>
      <c r="C64" s="521"/>
      <c r="D64" s="522"/>
    </row>
    <row r="65" spans="1:4" x14ac:dyDescent="0.2">
      <c r="A65" s="496"/>
      <c r="B65" s="520"/>
      <c r="C65" s="521"/>
      <c r="D65" s="522"/>
    </row>
    <row r="66" spans="1:4" ht="15.75" thickBot="1" x14ac:dyDescent="0.25">
      <c r="A66" s="497"/>
      <c r="B66" s="523"/>
      <c r="C66" s="524"/>
      <c r="D66" s="525"/>
    </row>
    <row r="67" spans="1:4" ht="15.75" thickBot="1" x14ac:dyDescent="0.25">
      <c r="A67" s="5"/>
      <c r="B67" s="6"/>
      <c r="C67" s="6"/>
      <c r="D67" s="28"/>
    </row>
    <row r="68" spans="1:4" x14ac:dyDescent="0.2">
      <c r="A68" s="495" t="s">
        <v>15</v>
      </c>
      <c r="B68" s="498" t="s">
        <v>119</v>
      </c>
      <c r="C68" s="499"/>
      <c r="D68" s="500"/>
    </row>
    <row r="69" spans="1:4" x14ac:dyDescent="0.2">
      <c r="A69" s="496"/>
      <c r="B69" s="501"/>
      <c r="C69" s="502"/>
      <c r="D69" s="503"/>
    </row>
    <row r="70" spans="1:4" x14ac:dyDescent="0.2">
      <c r="A70" s="496"/>
      <c r="B70" s="501"/>
      <c r="C70" s="502"/>
      <c r="D70" s="503"/>
    </row>
    <row r="71" spans="1:4" x14ac:dyDescent="0.2">
      <c r="A71" s="496"/>
      <c r="B71" s="501"/>
      <c r="C71" s="502"/>
      <c r="D71" s="503"/>
    </row>
    <row r="72" spans="1:4" x14ac:dyDescent="0.2">
      <c r="A72" s="496" t="s">
        <v>9</v>
      </c>
      <c r="B72" s="501"/>
      <c r="C72" s="502"/>
      <c r="D72" s="503"/>
    </row>
    <row r="73" spans="1:4" ht="15.75" thickBot="1" x14ac:dyDescent="0.25">
      <c r="A73" s="497"/>
      <c r="B73" s="504"/>
      <c r="C73" s="505"/>
      <c r="D73" s="506"/>
    </row>
    <row r="74" spans="1:4" ht="16.5" thickBot="1" x14ac:dyDescent="0.25">
      <c r="A74" s="7"/>
    </row>
    <row r="75" spans="1:4" ht="16.5" thickBot="1" x14ac:dyDescent="0.25">
      <c r="A75" s="8" t="s">
        <v>10</v>
      </c>
      <c r="B75" s="526"/>
      <c r="C75" s="527"/>
      <c r="D75" s="528"/>
    </row>
    <row r="76" spans="1:4" ht="16.5" thickBot="1" x14ac:dyDescent="0.25">
      <c r="A76" s="7"/>
    </row>
    <row r="77" spans="1:4" x14ac:dyDescent="0.2">
      <c r="A77" s="495" t="s">
        <v>16</v>
      </c>
      <c r="B77" s="498" t="s">
        <v>118</v>
      </c>
      <c r="C77" s="499"/>
      <c r="D77" s="500"/>
    </row>
    <row r="78" spans="1:4" x14ac:dyDescent="0.2">
      <c r="A78" s="496"/>
      <c r="B78" s="501"/>
      <c r="C78" s="502"/>
      <c r="D78" s="503"/>
    </row>
    <row r="79" spans="1:4" x14ac:dyDescent="0.2">
      <c r="A79" s="496"/>
      <c r="B79" s="501"/>
      <c r="C79" s="502"/>
      <c r="D79" s="503"/>
    </row>
    <row r="80" spans="1:4" x14ac:dyDescent="0.2">
      <c r="A80" s="496"/>
      <c r="B80" s="501"/>
      <c r="C80" s="502"/>
      <c r="D80" s="503"/>
    </row>
    <row r="81" spans="1:4" x14ac:dyDescent="0.2">
      <c r="A81" s="496"/>
      <c r="B81" s="501"/>
      <c r="C81" s="502"/>
      <c r="D81" s="503"/>
    </row>
    <row r="82" spans="1:4" ht="15.75" thickBot="1" x14ac:dyDescent="0.25">
      <c r="A82" s="497"/>
      <c r="B82" s="504"/>
      <c r="C82" s="505"/>
      <c r="D82" s="506"/>
    </row>
    <row r="83" spans="1:4" ht="16.5" thickBot="1" x14ac:dyDescent="0.25">
      <c r="A83" s="7"/>
    </row>
    <row r="84" spans="1:4" ht="16.5" thickBot="1" x14ac:dyDescent="0.25">
      <c r="A84" s="8" t="s">
        <v>10</v>
      </c>
      <c r="B84" s="526"/>
      <c r="C84" s="527"/>
      <c r="D84" s="528"/>
    </row>
  </sheetData>
  <protectedRanges>
    <protectedRange sqref="A52:G53 A45:A51 C45:G51 A40:G44" name="Range2_1"/>
    <protectedRange sqref="B4" name="Range1_1"/>
    <protectedRange sqref="D38:F38 A18:B18 D18:F18 A38:B38 A37:E37 E25:F32 A22:A34 B22:F23 A9:F17 A19:F21 A35:F36 B24:D32" name="Range3_1"/>
    <protectedRange sqref="B84 B75" name="Range10_1"/>
    <protectedRange sqref="B77" name="Range9_1"/>
    <protectedRange sqref="B68" name="Range8_1"/>
    <protectedRange sqref="B68" name="Range7_1"/>
    <protectedRange sqref="B61" name="Range6_1"/>
    <protectedRange sqref="A56" name="Range11_1"/>
    <protectedRange sqref="A58" name="Range12_1"/>
    <protectedRange sqref="E24:F24" name="Range3_1_1"/>
    <protectedRange sqref="C18" name="Range3_1_2"/>
    <protectedRange sqref="B5:B7" name="Range1_1_1"/>
    <protectedRange sqref="B45:B51" name="Range2_1_1"/>
    <protectedRange sqref="B56:C58" name="Range3_1_3"/>
    <protectedRange sqref="B33:F33" name="Range3_1_4"/>
    <protectedRange sqref="B34:F34" name="Range3_1_5"/>
  </protectedRanges>
  <mergeCells count="56">
    <mergeCell ref="E28:G28"/>
    <mergeCell ref="A37:G37"/>
    <mergeCell ref="B75:D75"/>
    <mergeCell ref="E35:G35"/>
    <mergeCell ref="E34:G34"/>
    <mergeCell ref="F44:G44"/>
    <mergeCell ref="B84:D84"/>
    <mergeCell ref="B58:D58"/>
    <mergeCell ref="F51:G51"/>
    <mergeCell ref="F50:G50"/>
    <mergeCell ref="F52:G52"/>
    <mergeCell ref="A77:A82"/>
    <mergeCell ref="B77:D82"/>
    <mergeCell ref="B57:D57"/>
    <mergeCell ref="B56:D56"/>
    <mergeCell ref="E25:G25"/>
    <mergeCell ref="F49:G49"/>
    <mergeCell ref="F40:G40"/>
    <mergeCell ref="F41:G41"/>
    <mergeCell ref="F42:G42"/>
    <mergeCell ref="F46:G46"/>
    <mergeCell ref="F47:G47"/>
    <mergeCell ref="F48:G48"/>
    <mergeCell ref="A61:A66"/>
    <mergeCell ref="B61:D66"/>
    <mergeCell ref="A68:A73"/>
    <mergeCell ref="B68:D73"/>
    <mergeCell ref="E21:G21"/>
    <mergeCell ref="E24:G24"/>
    <mergeCell ref="E19:G19"/>
    <mergeCell ref="E17:G17"/>
    <mergeCell ref="B4:G4"/>
    <mergeCell ref="B5:G5"/>
    <mergeCell ref="B6:G6"/>
    <mergeCell ref="B7:G7"/>
    <mergeCell ref="E14:G14"/>
    <mergeCell ref="E9:G9"/>
    <mergeCell ref="E10:G10"/>
    <mergeCell ref="E11:G11"/>
    <mergeCell ref="E12:G12"/>
    <mergeCell ref="E1:G1"/>
    <mergeCell ref="A8:G8"/>
    <mergeCell ref="A40:A53"/>
    <mergeCell ref="F53:G53"/>
    <mergeCell ref="F45:G45"/>
    <mergeCell ref="F43:G43"/>
    <mergeCell ref="E26:G26"/>
    <mergeCell ref="E18:G18"/>
    <mergeCell ref="E20:G20"/>
    <mergeCell ref="A9:A35"/>
    <mergeCell ref="E13:G13"/>
    <mergeCell ref="E33:G33"/>
    <mergeCell ref="E32:G32"/>
    <mergeCell ref="E30:G30"/>
    <mergeCell ref="E15:G15"/>
    <mergeCell ref="E16:G16"/>
  </mergeCells>
  <dataValidations count="2">
    <dataValidation type="list" allowBlank="1" showInputMessage="1" showErrorMessage="1" sqref="B38 B10:B36" xr:uid="{00000000-0002-0000-0000-000000000000}">
      <formula1>Descriptionofcost</formula1>
    </dataValidation>
    <dataValidation type="list" allowBlank="1" showInputMessage="1" showErrorMessage="1" sqref="C41:C53" xr:uid="{00000000-0002-0000-0000-000001000000}">
      <formula1>OrganisationType</formula1>
    </dataValidation>
  </dataValidations>
  <pageMargins left="0.25" right="0.25" top="0.75" bottom="0.75" header="0.3" footer="0.3"/>
  <pageSetup paperSize="9" scale="50" fitToHeight="0" orientation="portrait" r:id="rId1"/>
  <rowBreaks count="2" manualBreakCount="2">
    <brk id="7" max="16383" man="1"/>
    <brk id="54"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6D98D-E985-4887-9074-4DC453E83234}">
  <sheetPr>
    <tabColor rgb="FFFFC000"/>
    <pageSetUpPr fitToPage="1"/>
  </sheetPr>
  <dimension ref="A1:Y64"/>
  <sheetViews>
    <sheetView topLeftCell="A4" zoomScaleNormal="100" workbookViewId="0">
      <pane xSplit="1" ySplit="2" topLeftCell="B6" activePane="bottomRight" state="frozen"/>
      <selection activeCell="A4" sqref="A4"/>
      <selection pane="topRight" activeCell="B4" sqref="B4"/>
      <selection pane="bottomLeft" activeCell="A6" sqref="A6"/>
      <selection pane="bottomRight" activeCell="G33" sqref="G33"/>
    </sheetView>
  </sheetViews>
  <sheetFormatPr defaultColWidth="8.88671875" defaultRowHeight="15.75" x14ac:dyDescent="0.25"/>
  <cols>
    <col min="1" max="1" width="34" style="84" customWidth="1"/>
    <col min="2" max="2" width="21.44140625" style="84" customWidth="1"/>
    <col min="3" max="3" width="7.88671875" style="83" bestFit="1" customWidth="1"/>
    <col min="4" max="4" width="9.88671875" style="83" customWidth="1"/>
    <col min="5" max="7" width="8.88671875" style="84"/>
    <col min="8" max="8" width="7.44140625" style="84" customWidth="1"/>
    <col min="9" max="9" width="2.77734375" style="85" customWidth="1"/>
    <col min="10" max="10" width="9.5546875" style="86" customWidth="1"/>
    <col min="11" max="11" width="2.77734375" style="84" customWidth="1"/>
    <col min="12" max="12" width="10.44140625" style="87" customWidth="1"/>
    <col min="13" max="14" width="10.44140625" style="339" customWidth="1"/>
    <col min="15" max="15" width="34.21875" style="88" customWidth="1"/>
    <col min="16" max="16" width="4.6640625" style="84" customWidth="1"/>
    <col min="17" max="17" width="8.88671875" style="84"/>
    <col min="18" max="18" width="8.88671875" style="84" hidden="1" customWidth="1"/>
    <col min="19" max="16384" width="8.88671875" style="84"/>
  </cols>
  <sheetData>
    <row r="1" spans="1:25" ht="26.25" x14ac:dyDescent="0.4">
      <c r="A1" s="81" t="s">
        <v>301</v>
      </c>
      <c r="B1" s="82"/>
      <c r="F1" s="234" t="s">
        <v>227</v>
      </c>
      <c r="L1" s="167" t="s">
        <v>132</v>
      </c>
      <c r="M1" s="338"/>
      <c r="N1" s="338"/>
    </row>
    <row r="2" spans="1:25" ht="18.75" x14ac:dyDescent="0.3">
      <c r="A2" s="82" t="s">
        <v>68</v>
      </c>
    </row>
    <row r="4" spans="1:25" s="50" customFormat="1" ht="15" x14ac:dyDescent="0.2">
      <c r="A4" s="89" t="s">
        <v>69</v>
      </c>
      <c r="B4" s="89" t="s">
        <v>70</v>
      </c>
      <c r="C4" s="90" t="s">
        <v>71</v>
      </c>
      <c r="D4" s="91" t="s">
        <v>72</v>
      </c>
      <c r="E4" s="535" t="s">
        <v>340</v>
      </c>
      <c r="F4" s="535"/>
      <c r="G4" s="535"/>
      <c r="H4" s="535"/>
      <c r="I4" s="92"/>
      <c r="J4" s="93" t="s">
        <v>73</v>
      </c>
      <c r="L4" s="94" t="s">
        <v>362</v>
      </c>
      <c r="M4" s="94" t="s">
        <v>359</v>
      </c>
      <c r="N4" s="94" t="s">
        <v>361</v>
      </c>
      <c r="O4" s="95"/>
      <c r="Q4" s="96"/>
      <c r="R4" s="96"/>
      <c r="S4" s="96"/>
      <c r="T4" s="96"/>
      <c r="U4" s="96"/>
      <c r="V4" s="96"/>
      <c r="W4" s="96"/>
      <c r="X4" s="96"/>
      <c r="Y4" s="72"/>
    </row>
    <row r="5" spans="1:25" s="50" customFormat="1" ht="30" x14ac:dyDescent="0.2">
      <c r="A5" s="89"/>
      <c r="B5" s="89"/>
      <c r="C5" s="90"/>
      <c r="D5" s="91" t="s">
        <v>74</v>
      </c>
      <c r="E5" s="91" t="s">
        <v>43</v>
      </c>
      <c r="F5" s="91" t="s">
        <v>75</v>
      </c>
      <c r="G5" s="91" t="s">
        <v>76</v>
      </c>
      <c r="H5" s="91" t="s">
        <v>45</v>
      </c>
      <c r="I5" s="97"/>
      <c r="J5" s="93"/>
      <c r="L5" s="94"/>
      <c r="M5" s="94"/>
      <c r="N5" s="94" t="s">
        <v>364</v>
      </c>
      <c r="O5" s="95" t="s">
        <v>77</v>
      </c>
      <c r="Q5" s="96"/>
      <c r="R5" s="96"/>
      <c r="S5" s="96"/>
      <c r="T5" s="96"/>
      <c r="U5" s="96"/>
      <c r="V5" s="96"/>
      <c r="W5" s="96"/>
      <c r="X5" s="96"/>
      <c r="Y5" s="72"/>
    </row>
    <row r="6" spans="1:25" s="102" customFormat="1" ht="15" x14ac:dyDescent="0.25">
      <c r="A6" s="51"/>
      <c r="B6" s="51"/>
      <c r="C6" s="98"/>
      <c r="D6" s="98"/>
      <c r="E6" s="99"/>
      <c r="F6" s="340" t="s">
        <v>146</v>
      </c>
      <c r="G6" s="340" t="s">
        <v>146</v>
      </c>
      <c r="H6" s="340" t="s">
        <v>146</v>
      </c>
      <c r="I6" s="100"/>
      <c r="J6" s="101"/>
      <c r="L6" s="340" t="s">
        <v>146</v>
      </c>
      <c r="M6" s="340" t="s">
        <v>146</v>
      </c>
      <c r="N6" s="340" t="s">
        <v>146</v>
      </c>
      <c r="O6" s="103"/>
    </row>
    <row r="7" spans="1:25" s="102" customFormat="1" ht="15" x14ac:dyDescent="0.25">
      <c r="A7" s="126" t="s">
        <v>124</v>
      </c>
      <c r="B7" s="102" t="s">
        <v>78</v>
      </c>
      <c r="C7" s="98" t="s">
        <v>79</v>
      </c>
      <c r="D7" s="138">
        <v>65</v>
      </c>
      <c r="E7" s="326">
        <v>90726</v>
      </c>
      <c r="F7" s="326">
        <v>11209</v>
      </c>
      <c r="G7" s="326">
        <v>24133</v>
      </c>
      <c r="H7" s="105">
        <f t="shared" ref="H7:H8" si="0">SUM(E7:G7)</f>
        <v>126068</v>
      </c>
      <c r="I7" s="106"/>
      <c r="J7" s="107">
        <v>1</v>
      </c>
      <c r="L7" s="334">
        <f>ROUND(H7*J7,0)</f>
        <v>126068</v>
      </c>
      <c r="M7" s="100">
        <f t="shared" ref="M7:M14" si="1">L7*1/5</f>
        <v>25213.599999999999</v>
      </c>
      <c r="N7" s="334">
        <f>SUM(L7:M7)</f>
        <v>151281.60000000001</v>
      </c>
      <c r="O7" s="103" t="s">
        <v>354</v>
      </c>
      <c r="Q7" s="102" t="s">
        <v>356</v>
      </c>
    </row>
    <row r="8" spans="1:25" s="102" customFormat="1" ht="15" x14ac:dyDescent="0.25">
      <c r="A8" s="126" t="s">
        <v>124</v>
      </c>
      <c r="B8" s="321" t="s">
        <v>339</v>
      </c>
      <c r="C8" s="98"/>
      <c r="D8" s="138"/>
      <c r="E8" s="326">
        <v>4395</v>
      </c>
      <c r="F8" s="326"/>
      <c r="G8" s="326"/>
      <c r="H8" s="105">
        <f t="shared" si="0"/>
        <v>4395</v>
      </c>
      <c r="I8" s="106"/>
      <c r="J8" s="107">
        <v>1</v>
      </c>
      <c r="L8" s="334">
        <f>ROUND(H8*J8,0)</f>
        <v>4395</v>
      </c>
      <c r="M8" s="100">
        <f t="shared" si="1"/>
        <v>879</v>
      </c>
      <c r="N8" s="334">
        <f t="shared" ref="N8:N15" si="2">SUM(L8:M8)</f>
        <v>5274</v>
      </c>
      <c r="O8" s="88" t="s">
        <v>80</v>
      </c>
    </row>
    <row r="9" spans="1:25" s="109" customFormat="1" ht="15" x14ac:dyDescent="0.25">
      <c r="A9" s="313" t="s">
        <v>126</v>
      </c>
      <c r="B9" s="109" t="s">
        <v>128</v>
      </c>
      <c r="C9" s="110" t="s">
        <v>58</v>
      </c>
      <c r="D9" s="138">
        <v>38</v>
      </c>
      <c r="E9" s="326">
        <v>41881</v>
      </c>
      <c r="F9" s="326">
        <v>4469</v>
      </c>
      <c r="G9" s="326">
        <v>11140</v>
      </c>
      <c r="H9" s="105">
        <f>SUM(E9:G9)</f>
        <v>57490</v>
      </c>
      <c r="I9" s="106"/>
      <c r="J9" s="107">
        <v>0.8</v>
      </c>
      <c r="K9" s="102"/>
      <c r="L9" s="334">
        <f t="shared" ref="L9:L15" si="3">ROUND(H9*J9,0)</f>
        <v>45992</v>
      </c>
      <c r="M9" s="100">
        <f>L9*1/5</f>
        <v>9198.4</v>
      </c>
      <c r="N9" s="334">
        <f t="shared" si="2"/>
        <v>55190.400000000001</v>
      </c>
      <c r="O9" s="88" t="s">
        <v>127</v>
      </c>
      <c r="P9" s="165"/>
      <c r="S9" s="157"/>
    </row>
    <row r="10" spans="1:25" s="109" customFormat="1" ht="15" x14ac:dyDescent="0.25">
      <c r="A10" s="313" t="s">
        <v>125</v>
      </c>
      <c r="B10" s="109" t="s">
        <v>130</v>
      </c>
      <c r="C10" s="110" t="s">
        <v>99</v>
      </c>
      <c r="D10" s="136"/>
      <c r="E10" s="326"/>
      <c r="F10" s="326"/>
      <c r="G10" s="326"/>
      <c r="H10" s="105">
        <v>29061</v>
      </c>
      <c r="I10" s="106"/>
      <c r="J10" s="158">
        <v>1</v>
      </c>
      <c r="K10" s="102"/>
      <c r="L10" s="327">
        <f t="shared" si="3"/>
        <v>29061</v>
      </c>
      <c r="M10" s="100">
        <f t="shared" si="1"/>
        <v>5812.2</v>
      </c>
      <c r="N10" s="327">
        <f t="shared" si="2"/>
        <v>34873.199999999997</v>
      </c>
      <c r="O10" s="88" t="s">
        <v>80</v>
      </c>
      <c r="P10" s="166"/>
      <c r="S10" s="231"/>
    </row>
    <row r="11" spans="1:25" s="109" customFormat="1" ht="15" x14ac:dyDescent="0.25">
      <c r="A11" s="313" t="s">
        <v>307</v>
      </c>
      <c r="B11" s="296" t="s">
        <v>306</v>
      </c>
      <c r="C11" s="110" t="s">
        <v>99</v>
      </c>
      <c r="D11" s="136"/>
      <c r="E11" s="326"/>
      <c r="F11" s="326"/>
      <c r="G11" s="326"/>
      <c r="H11" s="111">
        <v>38079</v>
      </c>
      <c r="I11" s="106"/>
      <c r="J11" s="158">
        <v>0.6</v>
      </c>
      <c r="K11" s="102"/>
      <c r="L11" s="327">
        <f t="shared" si="3"/>
        <v>22847</v>
      </c>
      <c r="M11" s="100">
        <f t="shared" si="1"/>
        <v>4569.3999999999996</v>
      </c>
      <c r="N11" s="327">
        <f t="shared" si="2"/>
        <v>27416.400000000001</v>
      </c>
      <c r="O11" s="88" t="s">
        <v>80</v>
      </c>
      <c r="P11" s="166"/>
      <c r="S11" s="232"/>
    </row>
    <row r="12" spans="1:25" s="109" customFormat="1" ht="15" x14ac:dyDescent="0.25">
      <c r="A12" s="313" t="s">
        <v>129</v>
      </c>
      <c r="B12" s="109" t="s">
        <v>131</v>
      </c>
      <c r="C12" s="110" t="s">
        <v>99</v>
      </c>
      <c r="D12" s="136"/>
      <c r="E12" s="137"/>
      <c r="F12" s="137"/>
      <c r="G12" s="137"/>
      <c r="H12" s="105">
        <v>38079</v>
      </c>
      <c r="I12" s="106"/>
      <c r="J12" s="158">
        <v>1</v>
      </c>
      <c r="K12" s="102"/>
      <c r="L12" s="327">
        <f t="shared" si="3"/>
        <v>38079</v>
      </c>
      <c r="M12" s="100">
        <f t="shared" si="1"/>
        <v>7615.8</v>
      </c>
      <c r="N12" s="327">
        <f t="shared" si="2"/>
        <v>45694.8</v>
      </c>
      <c r="O12" s="88" t="s">
        <v>80</v>
      </c>
      <c r="P12" s="166"/>
      <c r="S12" s="233"/>
    </row>
    <row r="13" spans="1:25" s="109" customFormat="1" ht="15" x14ac:dyDescent="0.25">
      <c r="A13" s="335" t="s">
        <v>311</v>
      </c>
      <c r="B13" s="321" t="s">
        <v>308</v>
      </c>
      <c r="C13" s="110"/>
      <c r="D13" s="136"/>
      <c r="E13" s="137"/>
      <c r="F13" s="137"/>
      <c r="G13" s="137"/>
      <c r="H13" s="111">
        <v>25000</v>
      </c>
      <c r="I13" s="106"/>
      <c r="J13" s="158">
        <v>2</v>
      </c>
      <c r="K13" s="102"/>
      <c r="L13" s="327">
        <f t="shared" si="3"/>
        <v>50000</v>
      </c>
      <c r="M13" s="100">
        <f>L13*1/5</f>
        <v>10000</v>
      </c>
      <c r="N13" s="327">
        <f t="shared" si="2"/>
        <v>60000</v>
      </c>
      <c r="O13" s="88" t="s">
        <v>80</v>
      </c>
      <c r="P13" s="166"/>
      <c r="S13" s="233"/>
    </row>
    <row r="14" spans="1:25" s="109" customFormat="1" ht="15" x14ac:dyDescent="0.25">
      <c r="A14" s="320" t="s">
        <v>300</v>
      </c>
      <c r="C14" s="110"/>
      <c r="D14" s="136"/>
      <c r="E14" s="137"/>
      <c r="F14" s="137"/>
      <c r="G14" s="137"/>
      <c r="H14" s="105">
        <v>40000</v>
      </c>
      <c r="I14" s="106"/>
      <c r="J14" s="107">
        <v>1</v>
      </c>
      <c r="K14" s="102"/>
      <c r="L14" s="327">
        <f t="shared" si="3"/>
        <v>40000</v>
      </c>
      <c r="M14" s="100">
        <f t="shared" si="1"/>
        <v>8000</v>
      </c>
      <c r="N14" s="327">
        <f t="shared" si="2"/>
        <v>48000</v>
      </c>
      <c r="O14" s="88" t="s">
        <v>80</v>
      </c>
      <c r="P14" s="165"/>
      <c r="S14" s="232"/>
    </row>
    <row r="15" spans="1:25" s="109" customFormat="1" ht="15" x14ac:dyDescent="0.25">
      <c r="A15" s="320" t="s">
        <v>310</v>
      </c>
      <c r="B15" s="295" t="s">
        <v>309</v>
      </c>
      <c r="C15" s="110"/>
      <c r="D15" s="136"/>
      <c r="E15" s="137"/>
      <c r="F15" s="137"/>
      <c r="G15" s="137"/>
      <c r="H15" s="105">
        <v>64500</v>
      </c>
      <c r="I15" s="106"/>
      <c r="J15" s="107">
        <v>0.4</v>
      </c>
      <c r="K15" s="102"/>
      <c r="L15" s="327">
        <f t="shared" si="3"/>
        <v>25800</v>
      </c>
      <c r="M15" s="100">
        <f>L15*1/5</f>
        <v>5160</v>
      </c>
      <c r="N15" s="327">
        <f t="shared" si="2"/>
        <v>30960</v>
      </c>
      <c r="O15" s="88" t="s">
        <v>80</v>
      </c>
      <c r="P15" s="165"/>
      <c r="S15" s="232"/>
    </row>
    <row r="16" spans="1:25" s="108" customFormat="1" ht="15" x14ac:dyDescent="0.25">
      <c r="A16" s="313" t="s">
        <v>81</v>
      </c>
      <c r="C16" s="112"/>
      <c r="D16" s="112"/>
      <c r="E16" s="111"/>
      <c r="F16" s="111"/>
      <c r="G16" s="111"/>
      <c r="H16" s="111"/>
      <c r="I16" s="106"/>
      <c r="J16" s="113"/>
      <c r="K16" s="51"/>
      <c r="L16" s="147">
        <f>SUBTOTAL(9,L7:L15)</f>
        <v>382242</v>
      </c>
      <c r="M16" s="147">
        <f>SUBTOTAL(9,M7:M15)</f>
        <v>76448.399999999994</v>
      </c>
      <c r="N16" s="147">
        <f>SUBTOTAL(9,N7:N15)</f>
        <v>458690.4</v>
      </c>
      <c r="O16" s="115"/>
    </row>
    <row r="17" spans="1:16" s="109" customFormat="1" ht="15" x14ac:dyDescent="0.25">
      <c r="C17" s="98"/>
      <c r="D17" s="98"/>
      <c r="E17" s="99"/>
      <c r="F17" s="99"/>
      <c r="G17" s="99"/>
      <c r="H17" s="111"/>
      <c r="I17" s="106"/>
      <c r="J17" s="107"/>
      <c r="K17" s="102"/>
      <c r="L17" s="104"/>
      <c r="M17" s="99"/>
      <c r="N17" s="104"/>
      <c r="O17" s="88"/>
    </row>
    <row r="18" spans="1:16" s="109" customFormat="1" ht="15" x14ac:dyDescent="0.25">
      <c r="A18" s="116" t="s">
        <v>82</v>
      </c>
      <c r="B18" s="108"/>
      <c r="C18" s="98"/>
      <c r="D18" s="300"/>
      <c r="E18" s="99"/>
      <c r="F18" s="99"/>
      <c r="G18" s="99"/>
      <c r="H18" s="111"/>
      <c r="I18" s="106"/>
      <c r="J18" s="107"/>
      <c r="K18" s="102"/>
      <c r="L18" s="104"/>
      <c r="M18" s="99"/>
      <c r="N18" s="104"/>
      <c r="O18" s="88"/>
    </row>
    <row r="19" spans="1:16" s="109" customFormat="1" ht="15" x14ac:dyDescent="0.25">
      <c r="A19" s="108" t="s">
        <v>337</v>
      </c>
      <c r="B19" s="108"/>
      <c r="C19" s="98"/>
      <c r="D19" s="300"/>
      <c r="E19" s="99"/>
      <c r="F19" s="99"/>
      <c r="G19" s="99"/>
      <c r="H19" s="111"/>
      <c r="I19" s="106"/>
      <c r="J19" s="107"/>
      <c r="K19" s="102"/>
      <c r="L19" s="131">
        <v>50000</v>
      </c>
      <c r="M19" s="100">
        <f t="shared" ref="M19:M33" si="4">L19*1/5</f>
        <v>10000</v>
      </c>
      <c r="N19" s="131">
        <f t="shared" ref="N19:N33" si="5">SUM(L19:M19)</f>
        <v>60000</v>
      </c>
      <c r="O19" s="88" t="s">
        <v>80</v>
      </c>
      <c r="P19" s="108"/>
    </row>
    <row r="20" spans="1:16" s="109" customFormat="1" ht="15" x14ac:dyDescent="0.25">
      <c r="A20" s="115" t="s">
        <v>83</v>
      </c>
      <c r="B20" s="88"/>
      <c r="C20" s="98"/>
      <c r="D20" s="300"/>
      <c r="E20" s="99"/>
      <c r="F20" s="99"/>
      <c r="G20" s="99"/>
      <c r="H20" s="111"/>
      <c r="I20" s="106"/>
      <c r="J20" s="107"/>
      <c r="K20" s="102"/>
      <c r="L20" s="133">
        <v>30000</v>
      </c>
      <c r="M20" s="100">
        <f t="shared" si="4"/>
        <v>6000</v>
      </c>
      <c r="N20" s="133">
        <f t="shared" si="5"/>
        <v>36000</v>
      </c>
      <c r="O20" s="88" t="s">
        <v>80</v>
      </c>
    </row>
    <row r="21" spans="1:16" s="109" customFormat="1" ht="15" x14ac:dyDescent="0.25">
      <c r="A21" s="115" t="s">
        <v>220</v>
      </c>
      <c r="B21" s="88"/>
      <c r="C21" s="98"/>
      <c r="D21" s="98"/>
      <c r="E21" s="99"/>
      <c r="F21" s="99"/>
      <c r="G21" s="99"/>
      <c r="H21" s="111"/>
      <c r="I21" s="106"/>
      <c r="J21" s="107"/>
      <c r="K21" s="102"/>
      <c r="L21" s="131">
        <f>12250+5500</f>
        <v>17750</v>
      </c>
      <c r="M21" s="100">
        <f t="shared" si="4"/>
        <v>3550</v>
      </c>
      <c r="N21" s="131">
        <f t="shared" si="5"/>
        <v>21300</v>
      </c>
      <c r="O21" s="88" t="s">
        <v>80</v>
      </c>
    </row>
    <row r="22" spans="1:16" s="109" customFormat="1" ht="15" x14ac:dyDescent="0.25">
      <c r="A22" s="108" t="s">
        <v>226</v>
      </c>
      <c r="B22" s="88"/>
      <c r="C22" s="98"/>
      <c r="D22" s="98"/>
      <c r="E22" s="99"/>
      <c r="F22" s="99"/>
      <c r="G22" s="99"/>
      <c r="H22" s="111"/>
      <c r="I22" s="106"/>
      <c r="J22" s="107"/>
      <c r="K22" s="102"/>
      <c r="L22" s="131">
        <v>2500</v>
      </c>
      <c r="M22" s="100">
        <f t="shared" si="4"/>
        <v>500</v>
      </c>
      <c r="N22" s="131">
        <f t="shared" si="5"/>
        <v>3000</v>
      </c>
      <c r="O22" s="88" t="s">
        <v>80</v>
      </c>
    </row>
    <row r="23" spans="1:16" s="109" customFormat="1" ht="15" x14ac:dyDescent="0.25">
      <c r="A23" s="337" t="s">
        <v>122</v>
      </c>
      <c r="B23" s="88"/>
      <c r="C23" s="98"/>
      <c r="D23" s="98"/>
      <c r="E23" s="99"/>
      <c r="F23" s="99"/>
      <c r="G23" s="99"/>
      <c r="H23" s="111"/>
      <c r="I23" s="106"/>
      <c r="J23" s="107"/>
      <c r="K23" s="102"/>
      <c r="L23" s="133">
        <v>12000</v>
      </c>
      <c r="M23" s="100">
        <f t="shared" si="4"/>
        <v>2400</v>
      </c>
      <c r="N23" s="133">
        <f t="shared" si="5"/>
        <v>14400</v>
      </c>
      <c r="O23" s="88" t="s">
        <v>80</v>
      </c>
    </row>
    <row r="24" spans="1:16" s="109" customFormat="1" ht="15" x14ac:dyDescent="0.25">
      <c r="A24" s="336" t="s">
        <v>117</v>
      </c>
      <c r="B24" s="88"/>
      <c r="C24" s="98"/>
      <c r="D24" s="98"/>
      <c r="E24" s="99"/>
      <c r="F24" s="99"/>
      <c r="G24" s="99"/>
      <c r="H24" s="111"/>
      <c r="I24" s="106"/>
      <c r="J24" s="107"/>
      <c r="K24" s="102"/>
      <c r="L24" s="133">
        <v>20000</v>
      </c>
      <c r="M24" s="100">
        <v>0</v>
      </c>
      <c r="N24" s="133">
        <f t="shared" si="5"/>
        <v>20000</v>
      </c>
      <c r="O24" s="88" t="s">
        <v>80</v>
      </c>
    </row>
    <row r="25" spans="1:16" s="109" customFormat="1" ht="15" x14ac:dyDescent="0.25">
      <c r="A25" s="115" t="s">
        <v>123</v>
      </c>
      <c r="B25" s="88"/>
      <c r="C25" s="98"/>
      <c r="D25" s="98"/>
      <c r="E25" s="99"/>
      <c r="F25" s="99"/>
      <c r="G25" s="99"/>
      <c r="H25" s="111"/>
      <c r="I25" s="106"/>
      <c r="J25" s="107"/>
      <c r="K25" s="102"/>
      <c r="L25" s="133">
        <v>5000</v>
      </c>
      <c r="M25" s="100">
        <f t="shared" si="4"/>
        <v>1000</v>
      </c>
      <c r="N25" s="133">
        <f t="shared" si="5"/>
        <v>6000</v>
      </c>
      <c r="O25" s="88" t="s">
        <v>80</v>
      </c>
    </row>
    <row r="26" spans="1:16" s="109" customFormat="1" ht="15" x14ac:dyDescent="0.25">
      <c r="A26" s="115" t="s">
        <v>115</v>
      </c>
      <c r="C26" s="98"/>
      <c r="D26" s="98"/>
      <c r="E26" s="99"/>
      <c r="F26" s="99"/>
      <c r="G26" s="99"/>
      <c r="H26" s="111"/>
      <c r="I26" s="106"/>
      <c r="J26" s="107"/>
      <c r="K26" s="102"/>
      <c r="L26" s="133">
        <v>4000</v>
      </c>
      <c r="M26" s="100">
        <f t="shared" si="4"/>
        <v>800</v>
      </c>
      <c r="N26" s="133">
        <f t="shared" si="5"/>
        <v>4800</v>
      </c>
      <c r="O26" s="88" t="s">
        <v>80</v>
      </c>
    </row>
    <row r="27" spans="1:16" s="109" customFormat="1" ht="15" x14ac:dyDescent="0.25">
      <c r="A27" s="115" t="s">
        <v>351</v>
      </c>
      <c r="C27" s="98"/>
      <c r="D27" s="98"/>
      <c r="E27" s="99"/>
      <c r="F27" s="99"/>
      <c r="G27" s="99"/>
      <c r="H27" s="111"/>
      <c r="I27" s="106"/>
      <c r="J27" s="107"/>
      <c r="K27" s="102"/>
      <c r="L27" s="133">
        <v>10640</v>
      </c>
      <c r="M27" s="100">
        <v>0</v>
      </c>
      <c r="N27" s="133">
        <f t="shared" si="5"/>
        <v>10640</v>
      </c>
      <c r="O27" s="88" t="s">
        <v>80</v>
      </c>
    </row>
    <row r="28" spans="1:16" s="109" customFormat="1" ht="15" x14ac:dyDescent="0.25">
      <c r="A28" s="115" t="s">
        <v>116</v>
      </c>
      <c r="C28" s="98"/>
      <c r="D28" s="98"/>
      <c r="E28" s="99"/>
      <c r="F28" s="99"/>
      <c r="G28" s="99"/>
      <c r="H28" s="111"/>
      <c r="I28" s="106"/>
      <c r="J28" s="107"/>
      <c r="K28" s="102"/>
      <c r="L28" s="133">
        <v>3600</v>
      </c>
      <c r="M28" s="100">
        <f t="shared" si="4"/>
        <v>720</v>
      </c>
      <c r="N28" s="133">
        <f t="shared" si="5"/>
        <v>4320</v>
      </c>
      <c r="O28" s="88" t="s">
        <v>80</v>
      </c>
    </row>
    <row r="29" spans="1:16" s="109" customFormat="1" ht="15" x14ac:dyDescent="0.25">
      <c r="A29" s="115" t="s">
        <v>114</v>
      </c>
      <c r="B29" s="88"/>
      <c r="C29" s="98"/>
      <c r="D29" s="98"/>
      <c r="E29" s="99"/>
      <c r="F29" s="99"/>
      <c r="G29" s="99"/>
      <c r="H29" s="111"/>
      <c r="I29" s="106"/>
      <c r="J29" s="107"/>
      <c r="K29" s="102"/>
      <c r="L29" s="133">
        <v>10000</v>
      </c>
      <c r="M29" s="100">
        <f t="shared" si="4"/>
        <v>2000</v>
      </c>
      <c r="N29" s="133">
        <f t="shared" si="5"/>
        <v>12000</v>
      </c>
      <c r="O29" s="88" t="s">
        <v>80</v>
      </c>
    </row>
    <row r="30" spans="1:16" s="109" customFormat="1" ht="15" x14ac:dyDescent="0.25">
      <c r="A30" s="115" t="s">
        <v>102</v>
      </c>
      <c r="C30" s="98"/>
      <c r="D30" s="98"/>
      <c r="E30" s="99"/>
      <c r="F30" s="99"/>
      <c r="G30" s="99"/>
      <c r="H30" s="111"/>
      <c r="I30" s="106"/>
      <c r="J30" s="107"/>
      <c r="K30" s="102"/>
      <c r="L30" s="133">
        <v>1500</v>
      </c>
      <c r="M30" s="100">
        <f t="shared" si="4"/>
        <v>300</v>
      </c>
      <c r="N30" s="133">
        <f t="shared" si="5"/>
        <v>1800</v>
      </c>
      <c r="O30" s="88" t="s">
        <v>80</v>
      </c>
    </row>
    <row r="31" spans="1:16" s="109" customFormat="1" ht="15" x14ac:dyDescent="0.25">
      <c r="A31" s="115" t="s">
        <v>121</v>
      </c>
      <c r="B31" s="88"/>
      <c r="C31" s="98"/>
      <c r="D31" s="98"/>
      <c r="E31" s="99"/>
      <c r="F31" s="99"/>
      <c r="G31" s="99"/>
      <c r="H31" s="111"/>
      <c r="I31" s="106"/>
      <c r="J31" s="107"/>
      <c r="K31" s="102"/>
      <c r="L31" s="133">
        <v>1500</v>
      </c>
      <c r="M31" s="100">
        <f t="shared" si="4"/>
        <v>300</v>
      </c>
      <c r="N31" s="133">
        <f t="shared" si="5"/>
        <v>1800</v>
      </c>
      <c r="O31" s="88" t="s">
        <v>80</v>
      </c>
    </row>
    <row r="32" spans="1:16" s="109" customFormat="1" ht="15" x14ac:dyDescent="0.25">
      <c r="A32" s="115" t="s">
        <v>113</v>
      </c>
      <c r="B32" s="88"/>
      <c r="C32" s="98"/>
      <c r="D32" s="98"/>
      <c r="E32" s="99"/>
      <c r="F32" s="99"/>
      <c r="G32" s="99"/>
      <c r="H32" s="111"/>
      <c r="I32" s="106"/>
      <c r="J32" s="107"/>
      <c r="K32" s="102"/>
      <c r="L32" s="133">
        <v>1000</v>
      </c>
      <c r="M32" s="100">
        <f t="shared" si="4"/>
        <v>200</v>
      </c>
      <c r="N32" s="133">
        <f t="shared" si="5"/>
        <v>1200</v>
      </c>
      <c r="O32" s="88" t="s">
        <v>80</v>
      </c>
    </row>
    <row r="33" spans="1:15" s="109" customFormat="1" ht="15" x14ac:dyDescent="0.25">
      <c r="A33" s="312" t="s">
        <v>338</v>
      </c>
      <c r="B33" s="88"/>
      <c r="C33" s="98"/>
      <c r="D33" s="98"/>
      <c r="E33" s="99"/>
      <c r="F33" s="99"/>
      <c r="G33" s="99"/>
      <c r="H33" s="111"/>
      <c r="I33" s="106"/>
      <c r="J33" s="107"/>
      <c r="K33" s="102"/>
      <c r="L33" s="133">
        <v>3615</v>
      </c>
      <c r="M33" s="100">
        <f t="shared" si="4"/>
        <v>723</v>
      </c>
      <c r="N33" s="133">
        <f t="shared" si="5"/>
        <v>4338</v>
      </c>
      <c r="O33" s="88" t="s">
        <v>80</v>
      </c>
    </row>
    <row r="34" spans="1:15" s="108" customFormat="1" ht="15" x14ac:dyDescent="0.25">
      <c r="C34" s="112"/>
      <c r="D34" s="112"/>
      <c r="E34" s="111"/>
      <c r="F34" s="111"/>
      <c r="G34" s="111"/>
      <c r="H34" s="111"/>
      <c r="I34" s="106"/>
      <c r="J34" s="113"/>
      <c r="K34" s="51"/>
      <c r="L34" s="114">
        <f>SUBTOTAL(9,L17:L33)</f>
        <v>173105</v>
      </c>
      <c r="M34" s="114">
        <f>SUBTOTAL(9,M17:M33)</f>
        <v>28493</v>
      </c>
      <c r="N34" s="114">
        <f>SUBTOTAL(9,N17:N33)</f>
        <v>201598</v>
      </c>
      <c r="O34" s="115"/>
    </row>
    <row r="35" spans="1:15" s="108" customFormat="1" ht="15" x14ac:dyDescent="0.25">
      <c r="A35" s="116" t="s">
        <v>84</v>
      </c>
      <c r="C35" s="112"/>
      <c r="D35" s="112"/>
      <c r="E35" s="111"/>
      <c r="F35" s="111"/>
      <c r="G35" s="111"/>
      <c r="H35" s="111"/>
      <c r="I35" s="106"/>
      <c r="J35" s="113"/>
      <c r="K35" s="51"/>
      <c r="L35" s="117"/>
      <c r="M35" s="120"/>
      <c r="N35" s="117"/>
      <c r="O35" s="115"/>
    </row>
    <row r="36" spans="1:15" s="108" customFormat="1" ht="15" x14ac:dyDescent="0.25">
      <c r="A36" s="115" t="s">
        <v>85</v>
      </c>
      <c r="C36" s="112"/>
      <c r="D36" s="112"/>
      <c r="E36" s="111"/>
      <c r="F36" s="111"/>
      <c r="G36" s="111"/>
      <c r="H36" s="111"/>
      <c r="I36" s="106"/>
      <c r="J36" s="113"/>
      <c r="K36" s="51"/>
      <c r="L36" s="134">
        <v>7000</v>
      </c>
      <c r="M36" s="100">
        <f t="shared" ref="M36:M40" si="6">L36*1/5</f>
        <v>1400</v>
      </c>
      <c r="N36" s="134">
        <f t="shared" ref="N36:N40" si="7">SUM(L36:M36)</f>
        <v>8400</v>
      </c>
      <c r="O36" s="88" t="s">
        <v>80</v>
      </c>
    </row>
    <row r="37" spans="1:15" s="108" customFormat="1" ht="15" x14ac:dyDescent="0.25">
      <c r="A37" s="115" t="s">
        <v>53</v>
      </c>
      <c r="C37" s="112"/>
      <c r="D37" s="112"/>
      <c r="E37" s="111"/>
      <c r="F37" s="111"/>
      <c r="G37" s="111"/>
      <c r="H37" s="111"/>
      <c r="I37" s="106"/>
      <c r="J37" s="113"/>
      <c r="K37" s="51"/>
      <c r="L37" s="134">
        <v>20000</v>
      </c>
      <c r="M37" s="100">
        <f t="shared" si="6"/>
        <v>4000</v>
      </c>
      <c r="N37" s="134">
        <f t="shared" si="7"/>
        <v>24000</v>
      </c>
      <c r="O37" s="88" t="s">
        <v>80</v>
      </c>
    </row>
    <row r="38" spans="1:15" s="108" customFormat="1" ht="15" x14ac:dyDescent="0.25">
      <c r="A38" s="115" t="s">
        <v>406</v>
      </c>
      <c r="C38" s="112"/>
      <c r="D38" s="112"/>
      <c r="E38" s="111"/>
      <c r="F38" s="111"/>
      <c r="G38" s="111"/>
      <c r="H38" s="111"/>
      <c r="I38" s="106"/>
      <c r="J38" s="113"/>
      <c r="K38" s="51"/>
      <c r="L38" s="134">
        <v>15000</v>
      </c>
      <c r="M38" s="100">
        <f t="shared" si="6"/>
        <v>3000</v>
      </c>
      <c r="N38" s="134">
        <f t="shared" si="7"/>
        <v>18000</v>
      </c>
      <c r="O38" s="88" t="s">
        <v>80</v>
      </c>
    </row>
    <row r="39" spans="1:15" s="108" customFormat="1" ht="15" x14ac:dyDescent="0.25">
      <c r="A39" s="115" t="s">
        <v>111</v>
      </c>
      <c r="C39" s="112"/>
      <c r="D39" s="112"/>
      <c r="E39" s="111"/>
      <c r="F39" s="111"/>
      <c r="G39" s="111"/>
      <c r="H39" s="111"/>
      <c r="I39" s="106"/>
      <c r="J39" s="113"/>
      <c r="K39" s="51"/>
      <c r="L39" s="162">
        <v>7500</v>
      </c>
      <c r="M39" s="100">
        <f t="shared" si="6"/>
        <v>1500</v>
      </c>
      <c r="N39" s="162">
        <f t="shared" si="7"/>
        <v>9000</v>
      </c>
      <c r="O39" s="88" t="s">
        <v>80</v>
      </c>
    </row>
    <row r="40" spans="1:15" s="108" customFormat="1" ht="15" x14ac:dyDescent="0.25">
      <c r="A40" s="115" t="s">
        <v>87</v>
      </c>
      <c r="C40" s="112"/>
      <c r="D40" s="112"/>
      <c r="E40" s="111"/>
      <c r="F40" s="111"/>
      <c r="G40" s="111"/>
      <c r="H40" s="111"/>
      <c r="I40" s="106"/>
      <c r="J40" s="113"/>
      <c r="K40" s="51"/>
      <c r="L40" s="164">
        <v>12500</v>
      </c>
      <c r="M40" s="341">
        <f t="shared" si="6"/>
        <v>2500</v>
      </c>
      <c r="N40" s="164">
        <f t="shared" si="7"/>
        <v>15000</v>
      </c>
      <c r="O40" s="88" t="s">
        <v>80</v>
      </c>
    </row>
    <row r="41" spans="1:15" s="108" customFormat="1" ht="15" x14ac:dyDescent="0.25">
      <c r="A41" s="115"/>
      <c r="C41" s="112"/>
      <c r="D41" s="112"/>
      <c r="E41" s="111"/>
      <c r="F41" s="111"/>
      <c r="G41" s="111"/>
      <c r="H41" s="111"/>
      <c r="I41" s="106"/>
      <c r="J41" s="113"/>
      <c r="K41" s="51"/>
      <c r="L41" s="114">
        <f>SUM(L36:L40)</f>
        <v>62000</v>
      </c>
      <c r="M41" s="114">
        <f>SUM(M36:M40)</f>
        <v>12400</v>
      </c>
      <c r="N41" s="114">
        <f>SUM(N36:N40)</f>
        <v>74400</v>
      </c>
      <c r="O41" s="115"/>
    </row>
    <row r="42" spans="1:15" s="118" customFormat="1" ht="15" x14ac:dyDescent="0.25">
      <c r="C42" s="119"/>
      <c r="D42" s="119"/>
      <c r="E42" s="120"/>
      <c r="F42" s="120"/>
      <c r="G42" s="120"/>
      <c r="H42" s="120"/>
      <c r="I42" s="121"/>
      <c r="J42" s="122"/>
      <c r="L42" s="123"/>
      <c r="M42" s="123"/>
      <c r="N42" s="123"/>
      <c r="O42" s="124"/>
    </row>
    <row r="43" spans="1:15" s="108" customFormat="1" thickBot="1" x14ac:dyDescent="0.3">
      <c r="A43" s="108" t="s">
        <v>88</v>
      </c>
      <c r="C43" s="125"/>
      <c r="D43" s="125"/>
      <c r="I43" s="126"/>
      <c r="J43" s="127"/>
      <c r="K43" s="51"/>
      <c r="L43" s="128">
        <f>SUM(L16,L34,L41)</f>
        <v>617347</v>
      </c>
      <c r="M43" s="128">
        <f>SUM(M16,M34,M41)</f>
        <v>117341.4</v>
      </c>
      <c r="N43" s="128">
        <f>SUM(N16,N34,N41)</f>
        <v>734688.4</v>
      </c>
      <c r="O43" s="115"/>
    </row>
    <row r="44" spans="1:15" s="109" customFormat="1" thickTop="1" x14ac:dyDescent="0.25">
      <c r="C44" s="110"/>
      <c r="D44" s="110"/>
      <c r="I44" s="129"/>
      <c r="J44" s="130"/>
      <c r="K44" s="102"/>
      <c r="L44" s="104"/>
      <c r="M44" s="99"/>
      <c r="N44" s="104"/>
      <c r="O44" s="88"/>
    </row>
    <row r="45" spans="1:15" s="109" customFormat="1" ht="15" x14ac:dyDescent="0.25">
      <c r="A45" s="108" t="s">
        <v>89</v>
      </c>
      <c r="C45" s="110"/>
      <c r="D45" s="110"/>
      <c r="I45" s="129"/>
      <c r="J45" s="130"/>
      <c r="K45" s="102"/>
      <c r="L45" s="104"/>
      <c r="M45" s="99"/>
      <c r="N45" s="104"/>
      <c r="O45" s="88"/>
    </row>
    <row r="46" spans="1:15" s="109" customFormat="1" ht="15" x14ac:dyDescent="0.25">
      <c r="A46" s="108" t="s">
        <v>230</v>
      </c>
      <c r="C46" s="110"/>
      <c r="D46" s="110"/>
      <c r="I46" s="129"/>
      <c r="J46" s="130"/>
      <c r="K46" s="102"/>
      <c r="L46" s="111"/>
      <c r="M46" s="111"/>
      <c r="N46" s="222">
        <v>-500000</v>
      </c>
      <c r="O46" s="88" t="s">
        <v>112</v>
      </c>
    </row>
    <row r="47" spans="1:15" s="102" customFormat="1" ht="15" x14ac:dyDescent="0.25">
      <c r="A47" s="51" t="s">
        <v>235</v>
      </c>
      <c r="C47" s="98"/>
      <c r="D47" s="98"/>
      <c r="I47" s="129"/>
      <c r="J47" s="239"/>
      <c r="L47" s="111"/>
      <c r="M47" s="111"/>
      <c r="N47" s="155">
        <f>-N9</f>
        <v>-55190.400000000001</v>
      </c>
      <c r="O47" s="88" t="s">
        <v>363</v>
      </c>
    </row>
    <row r="48" spans="1:15" s="109" customFormat="1" ht="15" x14ac:dyDescent="0.25">
      <c r="A48" s="108" t="s">
        <v>231</v>
      </c>
      <c r="C48" s="110"/>
      <c r="D48" s="110"/>
      <c r="I48" s="129"/>
      <c r="J48" s="130"/>
      <c r="K48" s="102"/>
      <c r="L48" s="111"/>
      <c r="M48" s="111"/>
      <c r="N48" s="153">
        <v>-90310</v>
      </c>
      <c r="O48" s="88" t="s">
        <v>353</v>
      </c>
    </row>
    <row r="49" spans="1:15" s="109" customFormat="1" ht="15" x14ac:dyDescent="0.25">
      <c r="A49" s="108" t="s">
        <v>303</v>
      </c>
      <c r="C49" s="110"/>
      <c r="D49" s="110"/>
      <c r="I49" s="129"/>
      <c r="J49" s="130"/>
      <c r="K49" s="102"/>
      <c r="L49" s="111"/>
      <c r="M49" s="111"/>
      <c r="N49" s="237">
        <v>-76188</v>
      </c>
      <c r="O49" s="88" t="s">
        <v>302</v>
      </c>
    </row>
    <row r="50" spans="1:15" s="109" customFormat="1" ht="15" x14ac:dyDescent="0.25">
      <c r="A50" s="108" t="s">
        <v>232</v>
      </c>
      <c r="C50" s="110"/>
      <c r="D50" s="110"/>
      <c r="I50" s="129"/>
      <c r="J50" s="130"/>
      <c r="K50" s="102"/>
      <c r="L50" s="111"/>
      <c r="M50" s="111"/>
      <c r="N50" s="227">
        <v>-13000</v>
      </c>
      <c r="O50" s="88" t="s">
        <v>218</v>
      </c>
    </row>
    <row r="51" spans="1:15" s="109" customFormat="1" thickBot="1" x14ac:dyDescent="0.3">
      <c r="A51" s="108" t="s">
        <v>90</v>
      </c>
      <c r="C51" s="110"/>
      <c r="D51" s="110"/>
      <c r="I51" s="129"/>
      <c r="J51" s="130"/>
      <c r="L51" s="111"/>
      <c r="M51" s="111"/>
      <c r="N51" s="128">
        <f>SUM(N46:N50)</f>
        <v>-734688.4</v>
      </c>
      <c r="O51" s="88"/>
    </row>
    <row r="52" spans="1:15" s="109" customFormat="1" hidden="1" thickTop="1" x14ac:dyDescent="0.25">
      <c r="C52" s="110"/>
      <c r="D52" s="110"/>
      <c r="I52" s="129"/>
      <c r="J52" s="130"/>
      <c r="L52" s="111"/>
      <c r="M52" s="111"/>
      <c r="N52" s="104"/>
      <c r="O52" s="88"/>
    </row>
    <row r="53" spans="1:15" s="109" customFormat="1" ht="16.5" hidden="1" thickTop="1" thickBot="1" x14ac:dyDescent="0.3">
      <c r="A53" s="108" t="s">
        <v>330</v>
      </c>
      <c r="C53" s="110"/>
      <c r="D53" s="110"/>
      <c r="I53" s="129"/>
      <c r="J53" s="130"/>
      <c r="L53" s="111"/>
      <c r="M53" s="111"/>
      <c r="N53" s="128">
        <f>SUM(N43+N51)</f>
        <v>0</v>
      </c>
      <c r="O53" s="88"/>
    </row>
    <row r="54" spans="1:15" s="109" customFormat="1" thickTop="1" x14ac:dyDescent="0.25">
      <c r="C54" s="110"/>
      <c r="D54" s="110"/>
      <c r="I54" s="129"/>
      <c r="J54" s="130"/>
      <c r="L54" s="111"/>
      <c r="M54" s="111"/>
      <c r="N54" s="99"/>
      <c r="O54" s="88"/>
    </row>
    <row r="55" spans="1:15" s="109" customFormat="1" ht="15" x14ac:dyDescent="0.25">
      <c r="A55" s="108" t="s">
        <v>91</v>
      </c>
      <c r="C55" s="110"/>
      <c r="D55" s="110"/>
      <c r="I55" s="129"/>
      <c r="J55" s="130"/>
      <c r="L55" s="104"/>
      <c r="M55" s="99"/>
      <c r="N55" s="99"/>
      <c r="O55" s="88"/>
    </row>
    <row r="56" spans="1:15" s="109" customFormat="1" ht="15" x14ac:dyDescent="0.25">
      <c r="A56" s="109" t="s">
        <v>334</v>
      </c>
      <c r="C56" s="110"/>
      <c r="D56" s="110"/>
      <c r="I56" s="129"/>
      <c r="J56" s="130"/>
      <c r="L56" s="104"/>
      <c r="M56" s="99"/>
      <c r="N56" s="99"/>
      <c r="O56" s="88"/>
    </row>
    <row r="57" spans="1:15" s="109" customFormat="1" ht="15" x14ac:dyDescent="0.25">
      <c r="A57" s="109" t="s">
        <v>344</v>
      </c>
      <c r="C57" s="110"/>
      <c r="D57" s="110"/>
      <c r="I57" s="129"/>
      <c r="J57" s="130"/>
      <c r="L57" s="104"/>
      <c r="M57" s="99"/>
      <c r="N57" s="99"/>
      <c r="O57" s="88"/>
    </row>
    <row r="58" spans="1:15" s="109" customFormat="1" ht="15" x14ac:dyDescent="0.25">
      <c r="A58" s="313" t="s">
        <v>390</v>
      </c>
      <c r="C58" s="110"/>
      <c r="D58" s="110"/>
      <c r="I58" s="129"/>
      <c r="J58" s="130"/>
      <c r="L58" s="104"/>
      <c r="M58" s="99"/>
      <c r="N58" s="99"/>
      <c r="O58" s="88"/>
    </row>
    <row r="59" spans="1:15" s="109" customFormat="1" ht="15" x14ac:dyDescent="0.25">
      <c r="A59" s="165"/>
      <c r="C59" s="110"/>
      <c r="D59" s="110"/>
      <c r="I59" s="129"/>
      <c r="J59" s="130"/>
      <c r="L59" s="104"/>
      <c r="M59" s="99"/>
      <c r="N59" s="99"/>
      <c r="O59" s="88"/>
    </row>
    <row r="60" spans="1:15" s="109" customFormat="1" ht="15" x14ac:dyDescent="0.25">
      <c r="C60" s="110"/>
      <c r="D60" s="110"/>
      <c r="I60" s="129"/>
      <c r="J60" s="130"/>
      <c r="L60" s="104"/>
      <c r="M60" s="99"/>
      <c r="N60" s="99"/>
      <c r="O60" s="88"/>
    </row>
    <row r="61" spans="1:15" s="109" customFormat="1" ht="15" x14ac:dyDescent="0.25">
      <c r="C61" s="110"/>
      <c r="D61" s="110"/>
      <c r="I61" s="129"/>
      <c r="J61" s="130"/>
      <c r="L61" s="104"/>
      <c r="M61" s="99"/>
      <c r="N61" s="99"/>
      <c r="O61" s="88"/>
    </row>
    <row r="62" spans="1:15" s="109" customFormat="1" ht="15" x14ac:dyDescent="0.25">
      <c r="C62" s="110"/>
      <c r="D62" s="110"/>
      <c r="I62" s="129"/>
      <c r="J62" s="130"/>
      <c r="L62" s="104"/>
      <c r="M62" s="99"/>
      <c r="N62" s="99"/>
      <c r="O62" s="88"/>
    </row>
    <row r="63" spans="1:15" s="109" customFormat="1" ht="15" x14ac:dyDescent="0.25">
      <c r="C63" s="110"/>
      <c r="D63" s="110"/>
      <c r="I63" s="129"/>
      <c r="J63" s="130"/>
      <c r="L63" s="104"/>
      <c r="M63" s="99"/>
      <c r="N63" s="99"/>
      <c r="O63" s="88"/>
    </row>
    <row r="64" spans="1:15" s="109" customFormat="1" ht="15" x14ac:dyDescent="0.25">
      <c r="C64" s="110"/>
      <c r="D64" s="110"/>
      <c r="I64" s="129"/>
      <c r="J64" s="130"/>
      <c r="L64" s="104"/>
      <c r="M64" s="99"/>
      <c r="N64" s="99"/>
      <c r="O64" s="88"/>
    </row>
  </sheetData>
  <mergeCells count="1">
    <mergeCell ref="E4:H4"/>
  </mergeCells>
  <pageMargins left="0.43307086614173229" right="0.43307086614173229" top="0.74803149606299213" bottom="0.74803149606299213" header="0.31496062992125984" footer="0.31496062992125984"/>
  <pageSetup paperSize="9" scale="5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27"/>
  <sheetViews>
    <sheetView zoomScale="90" zoomScaleNormal="90" workbookViewId="0">
      <selection activeCell="D5" sqref="D5:D8"/>
    </sheetView>
  </sheetViews>
  <sheetFormatPr defaultRowHeight="15" x14ac:dyDescent="0.2"/>
  <cols>
    <col min="1" max="1" width="23.21875" customWidth="1"/>
    <col min="2" max="2" width="21.109375" customWidth="1"/>
    <col min="3" max="3" width="9.88671875" style="60" customWidth="1"/>
    <col min="4" max="5" width="9.5546875" style="60" customWidth="1"/>
    <col min="6" max="6" width="8.77734375" style="53" customWidth="1"/>
    <col min="11" max="11" width="7.44140625" customWidth="1"/>
    <col min="12" max="12" width="28.44140625" customWidth="1"/>
  </cols>
  <sheetData>
    <row r="1" spans="1:25" ht="15.75" x14ac:dyDescent="0.25">
      <c r="A1" s="536" t="s">
        <v>109</v>
      </c>
      <c r="B1" s="537"/>
      <c r="C1" s="537"/>
      <c r="D1" s="537"/>
      <c r="E1" s="537"/>
      <c r="F1" s="537"/>
      <c r="G1" s="537"/>
      <c r="H1" s="537"/>
      <c r="I1" s="537"/>
      <c r="J1" s="537"/>
      <c r="K1" s="538"/>
      <c r="Q1" s="70"/>
      <c r="R1" s="70"/>
      <c r="S1" s="70"/>
      <c r="T1" s="70"/>
      <c r="U1" s="70"/>
      <c r="V1" s="70"/>
      <c r="W1" s="70"/>
      <c r="X1" s="70"/>
      <c r="Y1" s="70"/>
    </row>
    <row r="2" spans="1:25" s="50" customFormat="1" ht="45" x14ac:dyDescent="0.2">
      <c r="A2" s="46" t="s">
        <v>38</v>
      </c>
      <c r="B2" s="47" t="s">
        <v>39</v>
      </c>
      <c r="C2" s="47" t="s">
        <v>40</v>
      </c>
      <c r="D2" s="48" t="s">
        <v>41</v>
      </c>
      <c r="E2" s="48" t="s">
        <v>41</v>
      </c>
      <c r="F2" s="48" t="s">
        <v>42</v>
      </c>
      <c r="G2" s="48" t="s">
        <v>324</v>
      </c>
      <c r="H2" s="48" t="s">
        <v>43</v>
      </c>
      <c r="I2" s="48" t="s">
        <v>63</v>
      </c>
      <c r="J2" s="48" t="s">
        <v>325</v>
      </c>
      <c r="K2" s="49" t="s">
        <v>44</v>
      </c>
      <c r="Q2" s="71"/>
      <c r="R2" s="71"/>
      <c r="S2" s="71"/>
      <c r="T2" s="71"/>
      <c r="U2" s="71"/>
      <c r="V2" s="71"/>
      <c r="W2" s="71"/>
      <c r="X2" s="71"/>
      <c r="Y2" s="72"/>
    </row>
    <row r="3" spans="1:25" s="52" customFormat="1" ht="15.75" x14ac:dyDescent="0.25">
      <c r="A3" s="51" t="s">
        <v>46</v>
      </c>
      <c r="C3" s="53"/>
      <c r="D3" s="54"/>
      <c r="E3" s="55"/>
      <c r="F3" s="53"/>
      <c r="H3" s="56"/>
      <c r="I3" s="56"/>
      <c r="J3" s="56"/>
      <c r="K3" s="56"/>
    </row>
    <row r="4" spans="1:25" s="52" customFormat="1" ht="30" x14ac:dyDescent="0.25">
      <c r="A4" s="307" t="s">
        <v>317</v>
      </c>
      <c r="B4" s="78" t="s">
        <v>65</v>
      </c>
      <c r="C4" s="53" t="s">
        <v>47</v>
      </c>
      <c r="D4" s="57">
        <v>1</v>
      </c>
      <c r="E4" s="58">
        <v>89690</v>
      </c>
      <c r="F4" s="53" t="s">
        <v>48</v>
      </c>
      <c r="G4" s="53">
        <v>60</v>
      </c>
      <c r="H4" s="76">
        <v>89690</v>
      </c>
      <c r="I4" s="76">
        <v>0</v>
      </c>
      <c r="J4" s="76">
        <v>0</v>
      </c>
      <c r="K4" s="63">
        <f>SUM(H4:J4)</f>
        <v>89690</v>
      </c>
      <c r="L4" s="52" t="s">
        <v>326</v>
      </c>
    </row>
    <row r="5" spans="1:25" ht="15.75" x14ac:dyDescent="0.25">
      <c r="B5" t="s">
        <v>49</v>
      </c>
      <c r="C5" s="53" t="s">
        <v>47</v>
      </c>
      <c r="D5" s="57">
        <v>0.125</v>
      </c>
      <c r="E5" s="284">
        <f>K5*D5</f>
        <v>11216.055</v>
      </c>
      <c r="F5" s="53" t="s">
        <v>323</v>
      </c>
      <c r="G5" s="60">
        <v>62</v>
      </c>
      <c r="H5" s="59">
        <f>63572*1.02</f>
        <v>64843.44</v>
      </c>
      <c r="I5" s="59">
        <f>ROUND((H5-9500)*0.138,0)</f>
        <v>7637</v>
      </c>
      <c r="J5" s="59">
        <f>ROUND(H5*0.266,0)</f>
        <v>17248</v>
      </c>
      <c r="K5" s="63">
        <f>SUM(H5:J5)</f>
        <v>89728.44</v>
      </c>
      <c r="L5" s="275" t="s">
        <v>263</v>
      </c>
    </row>
    <row r="6" spans="1:25" ht="15.75" x14ac:dyDescent="0.25">
      <c r="B6" t="s">
        <v>50</v>
      </c>
      <c r="C6" s="53" t="s">
        <v>47</v>
      </c>
      <c r="D6" s="57">
        <v>0.5</v>
      </c>
      <c r="E6" s="284">
        <f t="shared" ref="E6:E8" si="0">K6*D6</f>
        <v>39398</v>
      </c>
      <c r="F6" s="53" t="s">
        <v>51</v>
      </c>
      <c r="G6" s="60">
        <v>53</v>
      </c>
      <c r="H6" s="56">
        <v>57056</v>
      </c>
      <c r="I6" s="56">
        <f>ROUND((H6-9500)*0.138,0)</f>
        <v>6563</v>
      </c>
      <c r="J6" s="56">
        <f>ROUND(H6*0.266,0)</f>
        <v>15177</v>
      </c>
      <c r="K6" s="63">
        <f t="shared" ref="K6:K8" si="1">SUM(H6:J6)</f>
        <v>78796</v>
      </c>
      <c r="L6" s="275" t="s">
        <v>263</v>
      </c>
    </row>
    <row r="7" spans="1:25" ht="15.75" x14ac:dyDescent="0.25">
      <c r="B7" t="s">
        <v>52</v>
      </c>
      <c r="C7" s="53" t="s">
        <v>47</v>
      </c>
      <c r="D7" s="57">
        <v>0.4</v>
      </c>
      <c r="E7" s="284">
        <f t="shared" si="0"/>
        <v>14938.800000000001</v>
      </c>
      <c r="F7" s="53" t="s">
        <v>221</v>
      </c>
      <c r="G7" s="60">
        <v>27</v>
      </c>
      <c r="H7" s="56">
        <v>27534</v>
      </c>
      <c r="I7" s="56">
        <f>ROUND((H7-9500)*0.138,0)</f>
        <v>2489</v>
      </c>
      <c r="J7" s="56">
        <f>ROUND(H7*0.266,0)</f>
        <v>7324</v>
      </c>
      <c r="K7" s="63">
        <f t="shared" si="1"/>
        <v>37347</v>
      </c>
      <c r="L7" s="275" t="s">
        <v>263</v>
      </c>
    </row>
    <row r="8" spans="1:25" ht="15.75" x14ac:dyDescent="0.25">
      <c r="B8" s="52" t="s">
        <v>55</v>
      </c>
      <c r="C8" s="53" t="s">
        <v>47</v>
      </c>
      <c r="D8" s="57">
        <v>0.1</v>
      </c>
      <c r="E8" s="284">
        <f t="shared" si="0"/>
        <v>5468</v>
      </c>
      <c r="F8" s="53" t="s">
        <v>58</v>
      </c>
      <c r="G8" s="53">
        <v>36</v>
      </c>
      <c r="H8" s="56">
        <v>39880</v>
      </c>
      <c r="I8" s="56">
        <f>ROUND((H8-9500)*0.138,0)</f>
        <v>4192</v>
      </c>
      <c r="J8" s="56">
        <f>ROUND(H8*0.266,0)</f>
        <v>10608</v>
      </c>
      <c r="K8" s="68">
        <f t="shared" si="1"/>
        <v>54680</v>
      </c>
      <c r="L8" s="275" t="s">
        <v>263</v>
      </c>
    </row>
    <row r="9" spans="1:25" ht="15.75" x14ac:dyDescent="0.25">
      <c r="B9" s="52"/>
      <c r="C9" s="53"/>
      <c r="D9" s="57"/>
      <c r="E9" s="58"/>
      <c r="G9" s="53"/>
      <c r="H9" s="56"/>
      <c r="I9" s="56"/>
      <c r="J9" s="56"/>
      <c r="K9" s="68"/>
      <c r="L9" s="44"/>
    </row>
    <row r="10" spans="1:25" ht="15.75" x14ac:dyDescent="0.25">
      <c r="E10" s="61">
        <f>SUM(E4:E9)</f>
        <v>160710.85499999998</v>
      </c>
      <c r="H10" s="77">
        <f>SUM(H4:H9)</f>
        <v>279003.44</v>
      </c>
      <c r="I10" s="77">
        <f t="shared" ref="I10:K10" si="2">SUM(I4:I9)</f>
        <v>20881</v>
      </c>
      <c r="J10" s="77">
        <f t="shared" si="2"/>
        <v>50357</v>
      </c>
      <c r="K10" s="77">
        <f t="shared" si="2"/>
        <v>350241.44</v>
      </c>
    </row>
    <row r="11" spans="1:25" ht="15.75" x14ac:dyDescent="0.25">
      <c r="B11" t="s">
        <v>245</v>
      </c>
      <c r="D11" s="249">
        <v>0.2</v>
      </c>
      <c r="E11" s="247">
        <f>+E10*D11</f>
        <v>32142.170999999998</v>
      </c>
      <c r="H11" s="248"/>
      <c r="I11" s="248"/>
      <c r="J11" s="248"/>
      <c r="K11" s="248"/>
    </row>
    <row r="12" spans="1:25" ht="15.75" x14ac:dyDescent="0.25">
      <c r="E12" s="247">
        <f>SUM(E10:E11)</f>
        <v>192853.02599999998</v>
      </c>
      <c r="H12" s="248"/>
      <c r="I12" s="248"/>
      <c r="J12" s="248"/>
      <c r="K12" s="248"/>
    </row>
    <row r="13" spans="1:25" x14ac:dyDescent="0.2">
      <c r="A13" s="69" t="s">
        <v>57</v>
      </c>
    </row>
    <row r="14" spans="1:25" x14ac:dyDescent="0.2">
      <c r="A14" s="67" t="s">
        <v>335</v>
      </c>
    </row>
    <row r="15" spans="1:25" x14ac:dyDescent="0.2">
      <c r="A15" s="67"/>
    </row>
    <row r="16" spans="1:25" x14ac:dyDescent="0.2">
      <c r="A16" s="67" t="s">
        <v>120</v>
      </c>
    </row>
    <row r="17" spans="1:8" x14ac:dyDescent="0.2">
      <c r="A17" s="67"/>
    </row>
    <row r="18" spans="1:8" x14ac:dyDescent="0.2">
      <c r="A18" s="67"/>
    </row>
    <row r="22" spans="1:8" x14ac:dyDescent="0.2">
      <c r="D22" s="208"/>
      <c r="E22" s="208"/>
      <c r="F22" s="208"/>
      <c r="G22" s="70"/>
      <c r="H22" s="70"/>
    </row>
    <row r="23" spans="1:8" x14ac:dyDescent="0.2">
      <c r="B23" s="197"/>
      <c r="C23" s="197"/>
      <c r="D23" s="209"/>
      <c r="E23" s="210"/>
      <c r="F23" s="208"/>
      <c r="G23" s="70"/>
      <c r="H23" s="70"/>
    </row>
    <row r="24" spans="1:8" ht="15.75" x14ac:dyDescent="0.25">
      <c r="B24" s="197"/>
      <c r="C24" s="197"/>
      <c r="D24" s="209"/>
      <c r="E24" s="211"/>
      <c r="F24" s="208"/>
      <c r="G24" s="70"/>
      <c r="H24" s="70"/>
    </row>
    <row r="25" spans="1:8" ht="15.75" x14ac:dyDescent="0.25">
      <c r="B25" s="197"/>
      <c r="C25" s="197"/>
      <c r="D25" s="209"/>
      <c r="E25" s="211"/>
      <c r="F25" s="208"/>
      <c r="G25" s="70"/>
      <c r="H25" s="70"/>
    </row>
    <row r="26" spans="1:8" ht="15.75" x14ac:dyDescent="0.25">
      <c r="A26" s="197"/>
      <c r="B26" s="197"/>
      <c r="C26" s="197"/>
      <c r="D26" s="209"/>
      <c r="E26" s="211"/>
      <c r="F26" s="208"/>
      <c r="G26" s="70"/>
      <c r="H26" s="70"/>
    </row>
    <row r="27" spans="1:8" x14ac:dyDescent="0.2">
      <c r="D27" s="208"/>
      <c r="E27" s="208"/>
      <c r="F27" s="208"/>
      <c r="G27" s="70"/>
      <c r="H27" s="70"/>
    </row>
  </sheetData>
  <mergeCells count="1">
    <mergeCell ref="A1:K1"/>
  </mergeCells>
  <pageMargins left="0.25" right="0.25" top="0.75" bottom="0.75" header="0.3" footer="0.3"/>
  <pageSetup paperSize="9" scale="5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L13"/>
  <sheetViews>
    <sheetView workbookViewId="0">
      <selection activeCell="D5" sqref="D5:D8"/>
    </sheetView>
  </sheetViews>
  <sheetFormatPr defaultRowHeight="15" x14ac:dyDescent="0.2"/>
  <cols>
    <col min="2" max="2" width="15.5546875" bestFit="1" customWidth="1"/>
    <col min="4" max="4" width="10.77734375" customWidth="1"/>
    <col min="5" max="5" width="9.88671875" customWidth="1"/>
  </cols>
  <sheetData>
    <row r="1" spans="1:12" ht="15.75" x14ac:dyDescent="0.25">
      <c r="A1" s="536" t="s">
        <v>109</v>
      </c>
      <c r="B1" s="537"/>
      <c r="C1" s="537"/>
      <c r="D1" s="537"/>
      <c r="E1" s="537"/>
      <c r="F1" s="537"/>
      <c r="G1" s="537"/>
      <c r="H1" s="537"/>
      <c r="I1" s="537"/>
      <c r="J1" s="537"/>
      <c r="K1" s="538"/>
    </row>
    <row r="2" spans="1:12" ht="45" x14ac:dyDescent="0.2">
      <c r="A2" s="46" t="s">
        <v>38</v>
      </c>
      <c r="B2" s="47" t="s">
        <v>39</v>
      </c>
      <c r="C2" s="47" t="s">
        <v>40</v>
      </c>
      <c r="D2" s="48" t="s">
        <v>108</v>
      </c>
      <c r="E2" s="48" t="s">
        <v>108</v>
      </c>
      <c r="F2" s="48" t="s">
        <v>42</v>
      </c>
      <c r="G2" s="48" t="s">
        <v>62</v>
      </c>
      <c r="H2" s="48" t="s">
        <v>43</v>
      </c>
      <c r="I2" s="48" t="s">
        <v>63</v>
      </c>
      <c r="J2" s="48" t="s">
        <v>110</v>
      </c>
      <c r="K2" s="49" t="s">
        <v>44</v>
      </c>
    </row>
    <row r="3" spans="1:12" ht="15.75" x14ac:dyDescent="0.25">
      <c r="A3" s="51" t="s">
        <v>60</v>
      </c>
      <c r="B3" s="52"/>
      <c r="C3" s="53"/>
      <c r="D3" s="54"/>
      <c r="E3" s="55"/>
      <c r="F3" s="53"/>
      <c r="G3" s="52"/>
      <c r="H3" s="154"/>
      <c r="I3" s="56"/>
      <c r="J3" s="56"/>
      <c r="K3" s="56"/>
    </row>
    <row r="4" spans="1:12" ht="15.75" x14ac:dyDescent="0.25">
      <c r="A4" s="51"/>
      <c r="B4" s="52" t="s">
        <v>61</v>
      </c>
      <c r="C4" s="53" t="s">
        <v>59</v>
      </c>
      <c r="D4" s="57">
        <v>0.3</v>
      </c>
      <c r="E4" s="285">
        <f>K4*D4</f>
        <v>27787.5</v>
      </c>
      <c r="F4" s="53" t="s">
        <v>104</v>
      </c>
      <c r="G4" s="53">
        <v>60</v>
      </c>
      <c r="H4" s="133">
        <v>67300</v>
      </c>
      <c r="I4" s="99">
        <f>ROUND((H4-8632)*0.138,0)</f>
        <v>8096</v>
      </c>
      <c r="J4" s="99">
        <f>ROUND(H4*0.256,0)</f>
        <v>17229</v>
      </c>
      <c r="K4" s="105">
        <f>SUM(H4:J4)</f>
        <v>92625</v>
      </c>
    </row>
    <row r="5" spans="1:12" ht="15.75" x14ac:dyDescent="0.25">
      <c r="B5" t="s">
        <v>246</v>
      </c>
      <c r="C5" s="53" t="s">
        <v>59</v>
      </c>
      <c r="D5" s="57">
        <v>0.4</v>
      </c>
      <c r="E5" s="285">
        <f>K5*D5</f>
        <v>14578.400000000001</v>
      </c>
      <c r="F5" s="53" t="s">
        <v>48</v>
      </c>
      <c r="G5" s="60">
        <v>43</v>
      </c>
      <c r="H5" s="133">
        <v>26999</v>
      </c>
      <c r="I5" s="104">
        <f>ROUND((H5-8632)*0.138,0)</f>
        <v>2535</v>
      </c>
      <c r="J5" s="104">
        <f>ROUND(H5*0.256,0)</f>
        <v>6912</v>
      </c>
      <c r="K5" s="105">
        <f t="shared" ref="K5:K7" si="0">SUM(H5:J5)</f>
        <v>36446</v>
      </c>
    </row>
    <row r="6" spans="1:12" ht="15.75" x14ac:dyDescent="0.25">
      <c r="B6" t="s">
        <v>105</v>
      </c>
      <c r="C6" s="53" t="s">
        <v>59</v>
      </c>
      <c r="D6" s="57">
        <v>0.4</v>
      </c>
      <c r="E6" s="285">
        <f>K6*D6</f>
        <v>22273.600000000002</v>
      </c>
      <c r="F6" s="53" t="s">
        <v>106</v>
      </c>
      <c r="G6" s="60">
        <v>38</v>
      </c>
      <c r="H6" s="133">
        <v>40800</v>
      </c>
      <c r="I6" s="104">
        <f>ROUND((H6-8632)*0.138,0)</f>
        <v>4439</v>
      </c>
      <c r="J6" s="104">
        <f>ROUND(H6*0.256,0)</f>
        <v>10445</v>
      </c>
      <c r="K6" s="105">
        <f t="shared" ref="K6" si="1">SUM(H6:J6)</f>
        <v>55684</v>
      </c>
    </row>
    <row r="7" spans="1:12" ht="15.75" x14ac:dyDescent="0.25">
      <c r="B7" t="s">
        <v>100</v>
      </c>
      <c r="C7" s="53" t="s">
        <v>59</v>
      </c>
      <c r="D7" s="57">
        <v>0.2</v>
      </c>
      <c r="E7" s="285">
        <f>K7*D7</f>
        <v>9780.2000000000007</v>
      </c>
      <c r="F7" s="53" t="s">
        <v>101</v>
      </c>
      <c r="G7" s="60">
        <v>33</v>
      </c>
      <c r="H7" s="133">
        <v>35934</v>
      </c>
      <c r="I7" s="104">
        <f>ROUND((H7-8632)*0.138,0)</f>
        <v>3768</v>
      </c>
      <c r="J7" s="104">
        <f>ROUND(H7*0.256,0)</f>
        <v>9199</v>
      </c>
      <c r="K7" s="105">
        <f t="shared" si="0"/>
        <v>48901</v>
      </c>
      <c r="L7" s="79"/>
    </row>
    <row r="8" spans="1:12" ht="15.75" x14ac:dyDescent="0.25">
      <c r="C8" s="60"/>
      <c r="D8" s="60"/>
      <c r="E8" s="61">
        <f>SUM(E4:E7)</f>
        <v>74419.7</v>
      </c>
      <c r="F8" s="53"/>
      <c r="H8" s="62">
        <f>SUM(H4:H7)</f>
        <v>171033</v>
      </c>
      <c r="I8" s="62">
        <f>SUM(I4:I7)</f>
        <v>18838</v>
      </c>
      <c r="J8" s="62">
        <f>SUM(J4:J7)</f>
        <v>43785</v>
      </c>
      <c r="K8" s="62">
        <f>SUM(K4:K7)</f>
        <v>233656</v>
      </c>
    </row>
    <row r="9" spans="1:12" ht="15.75" x14ac:dyDescent="0.25">
      <c r="B9" t="s">
        <v>245</v>
      </c>
      <c r="C9" s="60"/>
      <c r="D9" s="249">
        <v>0.2</v>
      </c>
      <c r="E9" s="247">
        <f>+E8*D9</f>
        <v>14883.94</v>
      </c>
      <c r="F9" s="53"/>
      <c r="H9" s="117"/>
      <c r="I9" s="117"/>
      <c r="J9" s="117"/>
      <c r="K9" s="117"/>
    </row>
    <row r="10" spans="1:12" ht="15.75" x14ac:dyDescent="0.25">
      <c r="C10" s="60"/>
      <c r="D10" s="60"/>
      <c r="E10" s="247">
        <f>SUM(E8:E9)</f>
        <v>89303.64</v>
      </c>
      <c r="F10" s="53"/>
      <c r="H10" s="117"/>
      <c r="I10" s="117"/>
      <c r="J10" s="117"/>
      <c r="K10" s="117"/>
    </row>
    <row r="11" spans="1:12" x14ac:dyDescent="0.2">
      <c r="A11" s="69" t="s">
        <v>57</v>
      </c>
      <c r="C11" s="60"/>
      <c r="D11" s="60"/>
      <c r="E11" s="60"/>
      <c r="F11" s="53"/>
    </row>
    <row r="13" spans="1:12" x14ac:dyDescent="0.2">
      <c r="A13" t="s">
        <v>103</v>
      </c>
    </row>
  </sheetData>
  <mergeCells count="1">
    <mergeCell ref="A1:K1"/>
  </mergeCells>
  <pageMargins left="0.25" right="0.25" top="0.75" bottom="0.75" header="0.3" footer="0.3"/>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97AF8-F689-4D45-8DEB-BADAF3710D71}">
  <sheetPr>
    <tabColor rgb="FF92D050"/>
  </sheetPr>
  <dimension ref="A1:L7"/>
  <sheetViews>
    <sheetView workbookViewId="0">
      <selection activeCell="D5" sqref="D5:D8"/>
    </sheetView>
  </sheetViews>
  <sheetFormatPr defaultRowHeight="15" x14ac:dyDescent="0.2"/>
  <cols>
    <col min="2" max="2" width="15.21875" bestFit="1" customWidth="1"/>
    <col min="4" max="4" width="10.33203125" customWidth="1"/>
  </cols>
  <sheetData>
    <row r="1" spans="1:12" ht="15.75" x14ac:dyDescent="0.25">
      <c r="A1" s="536" t="s">
        <v>109</v>
      </c>
      <c r="B1" s="537"/>
      <c r="C1" s="537"/>
      <c r="D1" s="537"/>
      <c r="E1" s="537"/>
      <c r="F1" s="537"/>
      <c r="G1" s="537"/>
      <c r="H1" s="537"/>
      <c r="I1" s="537"/>
      <c r="J1" s="537"/>
      <c r="K1" s="538"/>
    </row>
    <row r="2" spans="1:12" ht="45" x14ac:dyDescent="0.2">
      <c r="A2" s="46" t="s">
        <v>38</v>
      </c>
      <c r="B2" s="47" t="s">
        <v>39</v>
      </c>
      <c r="C2" s="47" t="s">
        <v>40</v>
      </c>
      <c r="D2" s="48" t="s">
        <v>108</v>
      </c>
      <c r="E2" s="48" t="s">
        <v>108</v>
      </c>
      <c r="F2" s="48" t="s">
        <v>42</v>
      </c>
      <c r="G2" s="48" t="s">
        <v>62</v>
      </c>
      <c r="H2" s="48" t="s">
        <v>43</v>
      </c>
      <c r="I2" s="48" t="s">
        <v>63</v>
      </c>
      <c r="J2" s="48" t="s">
        <v>110</v>
      </c>
      <c r="K2" s="49" t="s">
        <v>44</v>
      </c>
    </row>
    <row r="3" spans="1:12" ht="15.75" x14ac:dyDescent="0.25">
      <c r="A3" s="51" t="s">
        <v>238</v>
      </c>
      <c r="B3" s="52"/>
      <c r="C3" s="53"/>
      <c r="D3" s="54"/>
      <c r="E3" s="55"/>
      <c r="F3" s="53"/>
      <c r="G3" s="52"/>
      <c r="H3" s="154"/>
      <c r="I3" s="56"/>
      <c r="J3" s="56"/>
      <c r="K3" s="56"/>
    </row>
    <row r="4" spans="1:12" ht="15.75" x14ac:dyDescent="0.25">
      <c r="A4" s="51"/>
      <c r="B4" s="52" t="s">
        <v>240</v>
      </c>
      <c r="C4" s="53" t="s">
        <v>239</v>
      </c>
      <c r="D4" s="57">
        <f>SUM(E4/H4)</f>
        <v>0.39581049811228841</v>
      </c>
      <c r="E4" s="151">
        <v>13000</v>
      </c>
      <c r="F4" s="53" t="s">
        <v>241</v>
      </c>
      <c r="G4" s="53" t="s">
        <v>241</v>
      </c>
      <c r="H4" s="133">
        <v>32844</v>
      </c>
      <c r="I4" s="99"/>
      <c r="J4" s="99">
        <f>ROUND(H4*0.256,0)</f>
        <v>8408</v>
      </c>
      <c r="K4" s="105">
        <f>SUM(H4:J4)</f>
        <v>41252</v>
      </c>
    </row>
    <row r="5" spans="1:12" ht="15.75" x14ac:dyDescent="0.25">
      <c r="C5" s="53"/>
      <c r="D5" s="57"/>
      <c r="E5" s="151"/>
      <c r="F5" s="53"/>
      <c r="G5" s="60"/>
      <c r="H5" s="133"/>
      <c r="I5" s="104"/>
      <c r="J5" s="104"/>
      <c r="K5" s="105"/>
      <c r="L5" s="79"/>
    </row>
    <row r="6" spans="1:12" ht="15.75" x14ac:dyDescent="0.25">
      <c r="C6" s="60"/>
      <c r="D6" s="60"/>
      <c r="E6" s="61">
        <f>SUM(E4:E5)</f>
        <v>13000</v>
      </c>
      <c r="F6" s="53"/>
      <c r="H6" s="62">
        <f>SUM(H4:H5)</f>
        <v>32844</v>
      </c>
      <c r="I6" s="62">
        <f>SUM(I4:I5)</f>
        <v>0</v>
      </c>
      <c r="J6" s="62">
        <f>SUM(J4:J5)</f>
        <v>8408</v>
      </c>
      <c r="K6" s="62">
        <f>SUM(K4:K5)</f>
        <v>41252</v>
      </c>
    </row>
    <row r="7" spans="1:12" x14ac:dyDescent="0.2">
      <c r="A7" s="69" t="s">
        <v>57</v>
      </c>
      <c r="C7" s="60"/>
      <c r="D7" s="60"/>
      <c r="E7" s="60"/>
      <c r="F7" s="53"/>
    </row>
  </sheetData>
  <mergeCells count="1">
    <mergeCell ref="A1:K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F1F8B7B9-533F-437B-921D-86207837431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Est LEP Reserve Balances 21-22</vt:lpstr>
      <vt:lpstr>SSLEP Budget 21-22 </vt:lpstr>
      <vt:lpstr>Core Fund Grant Form 21-22</vt:lpstr>
      <vt:lpstr>SSLEP Budget 20-21 DRAFT v2</vt:lpstr>
      <vt:lpstr>2021-22 Core Fund Grant Applicn</vt:lpstr>
      <vt:lpstr>Core Fund Grant WP</vt:lpstr>
      <vt:lpstr>SCC Match Funding</vt:lpstr>
      <vt:lpstr>SoTCC Match Funding (TBC)</vt:lpstr>
      <vt:lpstr>Chamber of Commerce Match Fund</vt:lpstr>
      <vt:lpstr>Secretariat Proposed Structure</vt:lpstr>
      <vt:lpstr>'2021-22 Core Fund Grant Applicn'!Print_Area</vt:lpstr>
      <vt:lpstr>'Core Fund Grant Form 21-22'!Print_Area</vt:lpstr>
      <vt:lpstr>'SSLEP Budget 21-22 '!Print_Area</vt:lpstr>
    </vt:vector>
  </TitlesOfParts>
  <Company>Department for Communities and Local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ddray</dc:creator>
  <cp:lastModifiedBy>Broad, John (Corporate)</cp:lastModifiedBy>
  <cp:lastPrinted>2021-03-29T11:35:03Z</cp:lastPrinted>
  <dcterms:created xsi:type="dcterms:W3CDTF">2017-01-17T10:48:40Z</dcterms:created>
  <dcterms:modified xsi:type="dcterms:W3CDTF">2021-04-08T15:25:50Z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f6ddf6d8-e821-45b0-88a9-92942c9c7c0e</vt:lpwstr>
  </property>
  <property fmtid="{D5CDD505-2E9C-101B-9397-08002B2CF9AE}" pid="3" name="bjSaver">
    <vt:lpwstr>Lib0isiP2+KtkOClt67yTH7vch/IUBvl</vt:lpwstr>
  </property>
  <property fmtid="{D5CDD505-2E9C-101B-9397-08002B2CF9AE}" pid="4" name="bjDocumentSecurityLabel">
    <vt:lpwstr>No Marking</vt:lpwstr>
  </property>
</Properties>
</file>